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878d4e49935538a/Desktop/Airport Operations/Budgets/"/>
    </mc:Choice>
  </mc:AlternateContent>
  <xr:revisionPtr revIDLastSave="0" documentId="8_{348E0950-5DF2-48B7-AD83-EE005E472542}" xr6:coauthVersionLast="47" xr6:coauthVersionMax="47" xr10:uidLastSave="{00000000-0000-0000-0000-000000000000}"/>
  <bookViews>
    <workbookView xWindow="-120" yWindow="-120" windowWidth="29040" windowHeight="17520" xr2:uid="{C281E42A-041E-4EC7-B4E1-E989AC2C0F39}"/>
  </bookViews>
  <sheets>
    <sheet name="Monthly Budget 2026" sheetId="1" r:id="rId1"/>
    <sheet name="Annual Budget Worksheet" sheetId="4" r:id="rId2"/>
    <sheet name="Fuel Worksheet 2026" sheetId="2" r:id="rId3"/>
    <sheet name="PVB T-Hangar Management-10" sheetId="7" r:id="rId4"/>
  </sheets>
  <definedNames>
    <definedName name="_xlnm._FilterDatabase" localSheetId="3" hidden="1">'PVB T-Hangar Management-10'!$A$1:$M$34</definedName>
    <definedName name="_xlnm.Print_Area" localSheetId="1">'Annual Budget Worksheet'!$A$2:$M$74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R46" i="1"/>
  <c r="D42" i="7"/>
  <c r="C42" i="7"/>
  <c r="B42" i="7"/>
  <c r="R41" i="1"/>
  <c r="R42" i="1"/>
  <c r="R43" i="1"/>
  <c r="R44" i="1"/>
  <c r="R60" i="1" s="1"/>
  <c r="R63" i="1" s="1"/>
  <c r="R45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40" i="1"/>
  <c r="Q36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5" i="1"/>
  <c r="R36" i="1" s="1"/>
  <c r="C24" i="1"/>
  <c r="D43" i="1"/>
  <c r="E43" i="1"/>
  <c r="F43" i="1"/>
  <c r="G43" i="1"/>
  <c r="H43" i="1"/>
  <c r="H19" i="1" s="1"/>
  <c r="I43" i="1"/>
  <c r="J43" i="1"/>
  <c r="K43" i="1"/>
  <c r="L43" i="1"/>
  <c r="M43" i="1"/>
  <c r="N43" i="1"/>
  <c r="C43" i="1"/>
  <c r="D42" i="1"/>
  <c r="D19" i="1" s="1"/>
  <c r="E42" i="1"/>
  <c r="E19" i="1" s="1"/>
  <c r="F42" i="1"/>
  <c r="F19" i="1" s="1"/>
  <c r="G42" i="1"/>
  <c r="G19" i="1" s="1"/>
  <c r="H42" i="1"/>
  <c r="I42" i="1"/>
  <c r="J42" i="1"/>
  <c r="K42" i="1"/>
  <c r="K19" i="1" s="1"/>
  <c r="L42" i="1"/>
  <c r="L19" i="1" s="1"/>
  <c r="M42" i="1"/>
  <c r="M19" i="1" s="1"/>
  <c r="N42" i="1"/>
  <c r="N19" i="1" s="1"/>
  <c r="C42" i="1"/>
  <c r="C19" i="1" s="1"/>
  <c r="M19" i="2"/>
  <c r="L19" i="2"/>
  <c r="K19" i="2"/>
  <c r="J19" i="2"/>
  <c r="J20" i="2" s="1"/>
  <c r="K17" i="1" s="1"/>
  <c r="I19" i="2"/>
  <c r="H19" i="2"/>
  <c r="G19" i="2"/>
  <c r="F19" i="2"/>
  <c r="E19" i="2"/>
  <c r="D19" i="2"/>
  <c r="C19" i="2"/>
  <c r="L20" i="2"/>
  <c r="M17" i="1" s="1"/>
  <c r="B19" i="2"/>
  <c r="C18" i="2"/>
  <c r="D18" i="2"/>
  <c r="E18" i="2"/>
  <c r="F18" i="2"/>
  <c r="G18" i="2"/>
  <c r="H18" i="2"/>
  <c r="I18" i="2"/>
  <c r="J18" i="2"/>
  <c r="K18" i="2"/>
  <c r="L18" i="2"/>
  <c r="M18" i="2"/>
  <c r="B18" i="2"/>
  <c r="D26" i="2"/>
  <c r="E26" i="2" s="1"/>
  <c r="F26" i="2" s="1"/>
  <c r="G26" i="2" s="1"/>
  <c r="H26" i="2" s="1"/>
  <c r="I26" i="2" s="1"/>
  <c r="J26" i="2" s="1"/>
  <c r="K26" i="2" s="1"/>
  <c r="L26" i="2" s="1"/>
  <c r="M26" i="2" s="1"/>
  <c r="C26" i="2"/>
  <c r="D25" i="2"/>
  <c r="E25" i="2" s="1"/>
  <c r="F25" i="2" s="1"/>
  <c r="G25" i="2" s="1"/>
  <c r="H25" i="2" s="1"/>
  <c r="I25" i="2" s="1"/>
  <c r="J25" i="2" s="1"/>
  <c r="K25" i="2" s="1"/>
  <c r="L25" i="2" s="1"/>
  <c r="M25" i="2" s="1"/>
  <c r="C25" i="2"/>
  <c r="D23" i="2"/>
  <c r="E23" i="2" s="1"/>
  <c r="C23" i="2"/>
  <c r="D22" i="2"/>
  <c r="E22" i="2"/>
  <c r="F22" i="2"/>
  <c r="G22" i="2" s="1"/>
  <c r="C22" i="2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40" i="4"/>
  <c r="D60" i="4"/>
  <c r="D42" i="4"/>
  <c r="D62" i="4" s="1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41" i="4"/>
  <c r="D40" i="4"/>
  <c r="C60" i="4"/>
  <c r="E36" i="4"/>
  <c r="F36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5" i="4"/>
  <c r="F70" i="4"/>
  <c r="E70" i="4"/>
  <c r="D70" i="4"/>
  <c r="C70" i="4"/>
  <c r="B70" i="4"/>
  <c r="F69" i="4"/>
  <c r="E69" i="4"/>
  <c r="D69" i="4"/>
  <c r="C69" i="4"/>
  <c r="B69" i="4"/>
  <c r="F68" i="4"/>
  <c r="E68" i="4"/>
  <c r="D68" i="4"/>
  <c r="C68" i="4"/>
  <c r="B68" i="4"/>
  <c r="F67" i="4"/>
  <c r="E67" i="4"/>
  <c r="D67" i="4"/>
  <c r="C67" i="4"/>
  <c r="B67" i="4"/>
  <c r="F66" i="4"/>
  <c r="E66" i="4"/>
  <c r="D66" i="4"/>
  <c r="C66" i="4"/>
  <c r="B66" i="4"/>
  <c r="F65" i="4"/>
  <c r="F71" i="4" s="1"/>
  <c r="E65" i="4"/>
  <c r="E71" i="4" s="1"/>
  <c r="D65" i="4"/>
  <c r="D71" i="4" s="1"/>
  <c r="C65" i="4"/>
  <c r="C71" i="4" s="1"/>
  <c r="B65" i="4"/>
  <c r="G62" i="4"/>
  <c r="G60" i="4"/>
  <c r="L59" i="4"/>
  <c r="J59" i="4"/>
  <c r="L58" i="4"/>
  <c r="J58" i="4"/>
  <c r="L57" i="4"/>
  <c r="J57" i="4"/>
  <c r="K57" i="4" s="1"/>
  <c r="L56" i="4"/>
  <c r="J56" i="4"/>
  <c r="L55" i="4"/>
  <c r="J55" i="4"/>
  <c r="L54" i="4"/>
  <c r="J54" i="4"/>
  <c r="L53" i="4"/>
  <c r="J53" i="4"/>
  <c r="L52" i="4"/>
  <c r="J52" i="4"/>
  <c r="L51" i="4"/>
  <c r="J51" i="4"/>
  <c r="L50" i="4"/>
  <c r="J50" i="4"/>
  <c r="L49" i="4"/>
  <c r="J49" i="4"/>
  <c r="L48" i="4"/>
  <c r="J48" i="4"/>
  <c r="L47" i="4"/>
  <c r="J47" i="4"/>
  <c r="K47" i="4" s="1"/>
  <c r="L46" i="4"/>
  <c r="J46" i="4"/>
  <c r="L45" i="4"/>
  <c r="M45" i="4" s="1"/>
  <c r="J45" i="4"/>
  <c r="L44" i="4"/>
  <c r="J44" i="4"/>
  <c r="L43" i="4"/>
  <c r="J43" i="4"/>
  <c r="L42" i="4"/>
  <c r="J42" i="4"/>
  <c r="K41" i="4"/>
  <c r="L40" i="4"/>
  <c r="M40" i="4" s="1"/>
  <c r="J40" i="4"/>
  <c r="J60" i="4" s="1"/>
  <c r="G36" i="4"/>
  <c r="C36" i="4"/>
  <c r="C62" i="4" s="1"/>
  <c r="L35" i="4"/>
  <c r="M35" i="4" s="1"/>
  <c r="J35" i="4"/>
  <c r="K35" i="4" s="1"/>
  <c r="L34" i="4"/>
  <c r="M34" i="4" s="1"/>
  <c r="J34" i="4"/>
  <c r="K34" i="4" s="1"/>
  <c r="L33" i="4"/>
  <c r="M33" i="4" s="1"/>
  <c r="J33" i="4"/>
  <c r="K33" i="4" s="1"/>
  <c r="L32" i="4"/>
  <c r="M32" i="4" s="1"/>
  <c r="J32" i="4"/>
  <c r="K32" i="4" s="1"/>
  <c r="L31" i="4"/>
  <c r="M31" i="4" s="1"/>
  <c r="J31" i="4"/>
  <c r="K31" i="4" s="1"/>
  <c r="L30" i="4"/>
  <c r="M30" i="4" s="1"/>
  <c r="J30" i="4"/>
  <c r="K30" i="4" s="1"/>
  <c r="L29" i="4"/>
  <c r="M29" i="4" s="1"/>
  <c r="J29" i="4"/>
  <c r="K29" i="4" s="1"/>
  <c r="L28" i="4"/>
  <c r="M28" i="4" s="1"/>
  <c r="J28" i="4"/>
  <c r="K28" i="4" s="1"/>
  <c r="L27" i="4"/>
  <c r="M27" i="4" s="1"/>
  <c r="J27" i="4"/>
  <c r="K27" i="4" s="1"/>
  <c r="L26" i="4"/>
  <c r="M26" i="4" s="1"/>
  <c r="J26" i="4"/>
  <c r="K26" i="4" s="1"/>
  <c r="L25" i="4"/>
  <c r="M25" i="4" s="1"/>
  <c r="J25" i="4"/>
  <c r="K25" i="4" s="1"/>
  <c r="L24" i="4"/>
  <c r="M24" i="4" s="1"/>
  <c r="J24" i="4"/>
  <c r="K24" i="4" s="1"/>
  <c r="L23" i="4"/>
  <c r="M23" i="4" s="1"/>
  <c r="J23" i="4"/>
  <c r="K23" i="4" s="1"/>
  <c r="L22" i="4"/>
  <c r="M22" i="4" s="1"/>
  <c r="J22" i="4"/>
  <c r="K22" i="4" s="1"/>
  <c r="L21" i="4"/>
  <c r="M21" i="4" s="1"/>
  <c r="J21" i="4"/>
  <c r="K21" i="4" s="1"/>
  <c r="L20" i="4"/>
  <c r="M20" i="4" s="1"/>
  <c r="J20" i="4"/>
  <c r="K20" i="4" s="1"/>
  <c r="L19" i="4"/>
  <c r="M19" i="4" s="1"/>
  <c r="J19" i="4"/>
  <c r="K19" i="4" s="1"/>
  <c r="L18" i="4"/>
  <c r="M18" i="4" s="1"/>
  <c r="J18" i="4"/>
  <c r="K18" i="4" s="1"/>
  <c r="L17" i="4"/>
  <c r="M17" i="4" s="1"/>
  <c r="J17" i="4"/>
  <c r="K17" i="4" s="1"/>
  <c r="L16" i="4"/>
  <c r="M16" i="4" s="1"/>
  <c r="J16" i="4"/>
  <c r="K16" i="4" s="1"/>
  <c r="L15" i="4"/>
  <c r="M15" i="4" s="1"/>
  <c r="J15" i="4"/>
  <c r="K15" i="4" s="1"/>
  <c r="L14" i="4"/>
  <c r="M14" i="4" s="1"/>
  <c r="J14" i="4"/>
  <c r="K14" i="4" s="1"/>
  <c r="L13" i="4"/>
  <c r="M13" i="4" s="1"/>
  <c r="J13" i="4"/>
  <c r="K13" i="4" s="1"/>
  <c r="L12" i="4"/>
  <c r="M12" i="4" s="1"/>
  <c r="J12" i="4"/>
  <c r="K12" i="4" s="1"/>
  <c r="L11" i="4"/>
  <c r="M11" i="4" s="1"/>
  <c r="J11" i="4"/>
  <c r="K11" i="4" s="1"/>
  <c r="L10" i="4"/>
  <c r="M10" i="4" s="1"/>
  <c r="J10" i="4"/>
  <c r="K10" i="4" s="1"/>
  <c r="L9" i="4"/>
  <c r="M9" i="4" s="1"/>
  <c r="J9" i="4"/>
  <c r="K9" i="4" s="1"/>
  <c r="L8" i="4"/>
  <c r="M8" i="4" s="1"/>
  <c r="J8" i="4"/>
  <c r="K8" i="4" s="1"/>
  <c r="L7" i="4"/>
  <c r="M7" i="4" s="1"/>
  <c r="J7" i="4"/>
  <c r="K7" i="4" s="1"/>
  <c r="L6" i="4"/>
  <c r="M6" i="4" s="1"/>
  <c r="J6" i="4"/>
  <c r="K6" i="4" s="1"/>
  <c r="L5" i="4"/>
  <c r="M5" i="4" s="1"/>
  <c r="J5" i="4"/>
  <c r="J36" i="4" s="1"/>
  <c r="M2" i="4"/>
  <c r="L2" i="4"/>
  <c r="K2" i="4"/>
  <c r="J2" i="4"/>
  <c r="J1" i="4"/>
  <c r="L1" i="4" s="1"/>
  <c r="S63" i="1"/>
  <c r="D9" i="1"/>
  <c r="E9" i="1"/>
  <c r="F9" i="1"/>
  <c r="G9" i="1"/>
  <c r="D10" i="1"/>
  <c r="E10" i="1"/>
  <c r="C10" i="1"/>
  <c r="C9" i="1"/>
  <c r="M20" i="2"/>
  <c r="N17" i="1" s="1"/>
  <c r="I20" i="2"/>
  <c r="J17" i="1" s="1"/>
  <c r="H20" i="2"/>
  <c r="I17" i="1" s="1"/>
  <c r="G20" i="2"/>
  <c r="H17" i="1" s="1"/>
  <c r="F20" i="2"/>
  <c r="G17" i="1" s="1"/>
  <c r="E20" i="2"/>
  <c r="F17" i="1" s="1"/>
  <c r="D20" i="2"/>
  <c r="E17" i="1" s="1"/>
  <c r="C20" i="2"/>
  <c r="D17" i="1" s="1"/>
  <c r="B20" i="2"/>
  <c r="C17" i="1" s="1"/>
  <c r="C16" i="2"/>
  <c r="B16" i="2"/>
  <c r="M15" i="2"/>
  <c r="L15" i="2"/>
  <c r="K15" i="2"/>
  <c r="M14" i="2"/>
  <c r="L14" i="2"/>
  <c r="K14" i="2"/>
  <c r="J16" i="2"/>
  <c r="I16" i="2"/>
  <c r="H16" i="2"/>
  <c r="G16" i="2"/>
  <c r="F16" i="2"/>
  <c r="E16" i="2"/>
  <c r="D16" i="2"/>
  <c r="M12" i="2"/>
  <c r="L12" i="2"/>
  <c r="K12" i="2"/>
  <c r="J12" i="2"/>
  <c r="I12" i="2"/>
  <c r="H12" i="2"/>
  <c r="G12" i="2"/>
  <c r="F12" i="2"/>
  <c r="E12" i="2"/>
  <c r="D12" i="2"/>
  <c r="C12" i="2"/>
  <c r="B12" i="2"/>
  <c r="M8" i="2"/>
  <c r="L8" i="2"/>
  <c r="K8" i="2"/>
  <c r="J8" i="2"/>
  <c r="I8" i="2"/>
  <c r="H8" i="2"/>
  <c r="G8" i="2"/>
  <c r="F8" i="2"/>
  <c r="E8" i="2"/>
  <c r="D8" i="2"/>
  <c r="C8" i="2"/>
  <c r="B8" i="2"/>
  <c r="M4" i="2"/>
  <c r="L4" i="2"/>
  <c r="K4" i="2"/>
  <c r="J4" i="2"/>
  <c r="I4" i="2"/>
  <c r="H4" i="2"/>
  <c r="G4" i="2"/>
  <c r="F4" i="2"/>
  <c r="E4" i="2"/>
  <c r="D4" i="2"/>
  <c r="C4" i="2"/>
  <c r="B4" i="2"/>
  <c r="Q60" i="1"/>
  <c r="F60" i="4" s="1"/>
  <c r="P60" i="1"/>
  <c r="E60" i="4" s="1"/>
  <c r="E62" i="4" s="1"/>
  <c r="D59" i="1"/>
  <c r="E59" i="1" s="1"/>
  <c r="F59" i="1" s="1"/>
  <c r="G59" i="1" s="1"/>
  <c r="H59" i="1" s="1"/>
  <c r="I59" i="1" s="1"/>
  <c r="J59" i="1" s="1"/>
  <c r="K59" i="1" s="1"/>
  <c r="L59" i="1" s="1"/>
  <c r="M59" i="1" s="1"/>
  <c r="N59" i="1" s="1"/>
  <c r="D58" i="1"/>
  <c r="E58" i="1" s="1"/>
  <c r="F58" i="1" s="1"/>
  <c r="G58" i="1" s="1"/>
  <c r="H58" i="1" s="1"/>
  <c r="I58" i="1" s="1"/>
  <c r="J58" i="1" s="1"/>
  <c r="K58" i="1" s="1"/>
  <c r="L58" i="1" s="1"/>
  <c r="M58" i="1" s="1"/>
  <c r="N58" i="1" s="1"/>
  <c r="D57" i="1"/>
  <c r="D56" i="1"/>
  <c r="E56" i="1" s="1"/>
  <c r="F56" i="1" s="1"/>
  <c r="G56" i="1" s="1"/>
  <c r="H56" i="1" s="1"/>
  <c r="I56" i="1" s="1"/>
  <c r="J56" i="1" s="1"/>
  <c r="K56" i="1" s="1"/>
  <c r="L56" i="1" s="1"/>
  <c r="M56" i="1" s="1"/>
  <c r="N56" i="1" s="1"/>
  <c r="D55" i="1"/>
  <c r="E55" i="1" s="1"/>
  <c r="F55" i="1" s="1"/>
  <c r="G55" i="1" s="1"/>
  <c r="D54" i="1"/>
  <c r="D53" i="1"/>
  <c r="E53" i="1" s="1"/>
  <c r="F53" i="1" s="1"/>
  <c r="G53" i="1" s="1"/>
  <c r="H53" i="1" s="1"/>
  <c r="I53" i="1" s="1"/>
  <c r="J53" i="1" s="1"/>
  <c r="K53" i="1" s="1"/>
  <c r="L53" i="1" s="1"/>
  <c r="M53" i="1" s="1"/>
  <c r="N53" i="1" s="1"/>
  <c r="D52" i="1"/>
  <c r="K51" i="1"/>
  <c r="L51" i="1" s="1"/>
  <c r="M51" i="1" s="1"/>
  <c r="I51" i="1"/>
  <c r="E51" i="1"/>
  <c r="F51" i="1" s="1"/>
  <c r="G51" i="1" s="1"/>
  <c r="H51" i="1" s="1"/>
  <c r="C51" i="1"/>
  <c r="K50" i="1"/>
  <c r="L50" i="1" s="1"/>
  <c r="M50" i="1" s="1"/>
  <c r="N50" i="1" s="1"/>
  <c r="I50" i="1"/>
  <c r="E50" i="1"/>
  <c r="F50" i="1" s="1"/>
  <c r="C50" i="1"/>
  <c r="I49" i="1"/>
  <c r="N49" i="1" s="1"/>
  <c r="D48" i="1"/>
  <c r="E48" i="1" s="1"/>
  <c r="F48" i="1" s="1"/>
  <c r="D47" i="1"/>
  <c r="N45" i="1"/>
  <c r="J45" i="1"/>
  <c r="D45" i="1"/>
  <c r="E45" i="1" s="1"/>
  <c r="F45" i="1" s="1"/>
  <c r="G45" i="1" s="1"/>
  <c r="D44" i="1"/>
  <c r="E44" i="1" s="1"/>
  <c r="F44" i="1" s="1"/>
  <c r="G44" i="1" s="1"/>
  <c r="H44" i="1" s="1"/>
  <c r="I44" i="1" s="1"/>
  <c r="J44" i="1" s="1"/>
  <c r="K44" i="1" s="1"/>
  <c r="L44" i="1" s="1"/>
  <c r="M44" i="1" s="1"/>
  <c r="N44" i="1" s="1"/>
  <c r="D41" i="1"/>
  <c r="D40" i="1"/>
  <c r="P36" i="1"/>
  <c r="D35" i="1"/>
  <c r="E35" i="1" s="1"/>
  <c r="F35" i="1" s="1"/>
  <c r="G35" i="1" s="1"/>
  <c r="H35" i="1" s="1"/>
  <c r="I35" i="1" s="1"/>
  <c r="J35" i="1" s="1"/>
  <c r="K35" i="1" s="1"/>
  <c r="L35" i="1" s="1"/>
  <c r="M35" i="1" s="1"/>
  <c r="N35" i="1" s="1"/>
  <c r="D34" i="1"/>
  <c r="D33" i="1"/>
  <c r="D32" i="1"/>
  <c r="D31" i="1"/>
  <c r="E31" i="1" s="1"/>
  <c r="F31" i="1" s="1"/>
  <c r="G31" i="1" s="1"/>
  <c r="H31" i="1" s="1"/>
  <c r="I31" i="1" s="1"/>
  <c r="J31" i="1" s="1"/>
  <c r="K31" i="1" s="1"/>
  <c r="L31" i="1" s="1"/>
  <c r="M31" i="1" s="1"/>
  <c r="N31" i="1" s="1"/>
  <c r="D30" i="1"/>
  <c r="E30" i="1" s="1"/>
  <c r="F30" i="1" s="1"/>
  <c r="G30" i="1" s="1"/>
  <c r="H30" i="1" s="1"/>
  <c r="I30" i="1" s="1"/>
  <c r="D29" i="1"/>
  <c r="E29" i="1" s="1"/>
  <c r="D28" i="1"/>
  <c r="D27" i="1"/>
  <c r="D26" i="1"/>
  <c r="E26" i="1" s="1"/>
  <c r="F26" i="1" s="1"/>
  <c r="G26" i="1" s="1"/>
  <c r="H26" i="1" s="1"/>
  <c r="I26" i="1" s="1"/>
  <c r="J26" i="1" s="1"/>
  <c r="K26" i="1" s="1"/>
  <c r="L26" i="1" s="1"/>
  <c r="M26" i="1" s="1"/>
  <c r="N26" i="1" s="1"/>
  <c r="D25" i="1"/>
  <c r="E25" i="1" s="1"/>
  <c r="D24" i="1"/>
  <c r="E24" i="1" s="1"/>
  <c r="D23" i="1"/>
  <c r="E23" i="1" s="1"/>
  <c r="F23" i="1" s="1"/>
  <c r="G23" i="1" s="1"/>
  <c r="H23" i="1" s="1"/>
  <c r="I23" i="1" s="1"/>
  <c r="J23" i="1" s="1"/>
  <c r="K23" i="1" s="1"/>
  <c r="L23" i="1" s="1"/>
  <c r="M23" i="1" s="1"/>
  <c r="N23" i="1" s="1"/>
  <c r="D22" i="1"/>
  <c r="D21" i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D20" i="1"/>
  <c r="D18" i="1"/>
  <c r="E18" i="1" s="1"/>
  <c r="F18" i="1" s="1"/>
  <c r="D16" i="1"/>
  <c r="D15" i="1"/>
  <c r="E15" i="1" s="1"/>
  <c r="F15" i="1" s="1"/>
  <c r="G15" i="1" s="1"/>
  <c r="H15" i="1" s="1"/>
  <c r="I15" i="1" s="1"/>
  <c r="J15" i="1" s="1"/>
  <c r="K15" i="1" s="1"/>
  <c r="L15" i="1" s="1"/>
  <c r="M15" i="1" s="1"/>
  <c r="N15" i="1" s="1"/>
  <c r="D14" i="1"/>
  <c r="E14" i="1" s="1"/>
  <c r="F14" i="1" s="1"/>
  <c r="G14" i="1" s="1"/>
  <c r="H14" i="1" s="1"/>
  <c r="I14" i="1" s="1"/>
  <c r="J14" i="1" s="1"/>
  <c r="K14" i="1" s="1"/>
  <c r="L14" i="1" s="1"/>
  <c r="M14" i="1" s="1"/>
  <c r="N14" i="1" s="1"/>
  <c r="D13" i="1"/>
  <c r="E13" i="1" s="1"/>
  <c r="F13" i="1" s="1"/>
  <c r="G13" i="1" s="1"/>
  <c r="D12" i="1"/>
  <c r="J11" i="1"/>
  <c r="K11" i="1" s="1"/>
  <c r="L11" i="1" s="1"/>
  <c r="M11" i="1" s="1"/>
  <c r="N11" i="1" s="1"/>
  <c r="D11" i="1"/>
  <c r="D8" i="1"/>
  <c r="E8" i="1" s="1"/>
  <c r="D7" i="1"/>
  <c r="E7" i="1" s="1"/>
  <c r="F7" i="1" s="1"/>
  <c r="G7" i="1" s="1"/>
  <c r="H7" i="1" s="1"/>
  <c r="I7" i="1" s="1"/>
  <c r="D6" i="1"/>
  <c r="D5" i="1"/>
  <c r="Q63" i="1" l="1"/>
  <c r="K44" i="4"/>
  <c r="K54" i="4"/>
  <c r="M44" i="4"/>
  <c r="K45" i="4"/>
  <c r="M47" i="4"/>
  <c r="M57" i="4"/>
  <c r="K48" i="4"/>
  <c r="M58" i="4"/>
  <c r="K46" i="4"/>
  <c r="K53" i="4"/>
  <c r="M48" i="4"/>
  <c r="M53" i="4"/>
  <c r="K42" i="4"/>
  <c r="M46" i="4"/>
  <c r="K20" i="2"/>
  <c r="L17" i="1" s="1"/>
  <c r="F23" i="2"/>
  <c r="F10" i="1"/>
  <c r="H9" i="1"/>
  <c r="H22" i="2"/>
  <c r="N8" i="2"/>
  <c r="K16" i="2"/>
  <c r="L16" i="2"/>
  <c r="M16" i="2"/>
  <c r="N20" i="2"/>
  <c r="N12" i="2"/>
  <c r="N4" i="2"/>
  <c r="M55" i="4"/>
  <c r="K49" i="4"/>
  <c r="M49" i="4"/>
  <c r="M42" i="4"/>
  <c r="K50" i="4"/>
  <c r="K43" i="4"/>
  <c r="M50" i="4"/>
  <c r="M43" i="4"/>
  <c r="K51" i="4"/>
  <c r="K58" i="4"/>
  <c r="M54" i="4"/>
  <c r="M56" i="4"/>
  <c r="M51" i="4"/>
  <c r="K55" i="4"/>
  <c r="K56" i="4"/>
  <c r="K52" i="4"/>
  <c r="K59" i="4"/>
  <c r="M52" i="4"/>
  <c r="M59" i="4"/>
  <c r="F62" i="4"/>
  <c r="L60" i="4"/>
  <c r="M60" i="4" s="1"/>
  <c r="L36" i="4"/>
  <c r="M36" i="4" s="1"/>
  <c r="J62" i="4"/>
  <c r="J74" i="4" s="1"/>
  <c r="K40" i="4"/>
  <c r="K5" i="4"/>
  <c r="P63" i="1"/>
  <c r="O43" i="1"/>
  <c r="T43" i="1" s="1"/>
  <c r="J30" i="1"/>
  <c r="K30" i="1" s="1"/>
  <c r="L30" i="1" s="1"/>
  <c r="M30" i="1" s="1"/>
  <c r="N30" i="1" s="1"/>
  <c r="O32" i="1"/>
  <c r="J7" i="1"/>
  <c r="K7" i="1" s="1"/>
  <c r="L7" i="1" s="1"/>
  <c r="M7" i="1" s="1"/>
  <c r="N7" i="1" s="1"/>
  <c r="G48" i="1"/>
  <c r="H48" i="1" s="1"/>
  <c r="I48" i="1" s="1"/>
  <c r="J48" i="1" s="1"/>
  <c r="K48" i="1" s="1"/>
  <c r="L48" i="1" s="1"/>
  <c r="M48" i="1" s="1"/>
  <c r="N48" i="1" s="1"/>
  <c r="E12" i="1"/>
  <c r="F12" i="1" s="1"/>
  <c r="G12" i="1" s="1"/>
  <c r="H12" i="1" s="1"/>
  <c r="I12" i="1" s="1"/>
  <c r="J12" i="1" s="1"/>
  <c r="K12" i="1" s="1"/>
  <c r="L12" i="1" s="1"/>
  <c r="M12" i="1" s="1"/>
  <c r="N12" i="1" s="1"/>
  <c r="F8" i="1"/>
  <c r="G8" i="1" s="1"/>
  <c r="H8" i="1" s="1"/>
  <c r="I8" i="1" s="1"/>
  <c r="J8" i="1" s="1"/>
  <c r="K8" i="1" s="1"/>
  <c r="L8" i="1" s="1"/>
  <c r="M8" i="1" s="1"/>
  <c r="N8" i="1" s="1"/>
  <c r="E32" i="1"/>
  <c r="F32" i="1" s="1"/>
  <c r="G32" i="1" s="1"/>
  <c r="H32" i="1" s="1"/>
  <c r="I32" i="1" s="1"/>
  <c r="J32" i="1" s="1"/>
  <c r="K32" i="1" s="1"/>
  <c r="L32" i="1" s="1"/>
  <c r="M32" i="1" s="1"/>
  <c r="N32" i="1" s="1"/>
  <c r="D60" i="1"/>
  <c r="E40" i="1"/>
  <c r="O35" i="1"/>
  <c r="G50" i="1"/>
  <c r="H50" i="1" s="1"/>
  <c r="C60" i="1"/>
  <c r="O42" i="1"/>
  <c r="E22" i="1"/>
  <c r="F22" i="1" s="1"/>
  <c r="G22" i="1" s="1"/>
  <c r="H22" i="1" s="1"/>
  <c r="I22" i="1" s="1"/>
  <c r="J22" i="1" s="1"/>
  <c r="K22" i="1" s="1"/>
  <c r="L22" i="1" s="1"/>
  <c r="M22" i="1" s="1"/>
  <c r="N22" i="1" s="1"/>
  <c r="H55" i="1"/>
  <c r="I55" i="1" s="1"/>
  <c r="J55" i="1" s="1"/>
  <c r="K55" i="1" s="1"/>
  <c r="L55" i="1" s="1"/>
  <c r="M55" i="1" s="1"/>
  <c r="N55" i="1" s="1"/>
  <c r="E6" i="1"/>
  <c r="F6" i="1" s="1"/>
  <c r="G6" i="1" s="1"/>
  <c r="H6" i="1" s="1"/>
  <c r="I6" i="1" s="1"/>
  <c r="J6" i="1" s="1"/>
  <c r="K6" i="1" s="1"/>
  <c r="L6" i="1" s="1"/>
  <c r="M6" i="1" s="1"/>
  <c r="N6" i="1" s="1"/>
  <c r="E20" i="1"/>
  <c r="F20" i="1" s="1"/>
  <c r="G20" i="1" s="1"/>
  <c r="H20" i="1" s="1"/>
  <c r="I20" i="1" s="1"/>
  <c r="J20" i="1" s="1"/>
  <c r="K20" i="1" s="1"/>
  <c r="L20" i="1" s="1"/>
  <c r="M20" i="1" s="1"/>
  <c r="N20" i="1" s="1"/>
  <c r="F29" i="1"/>
  <c r="G29" i="1" s="1"/>
  <c r="H29" i="1" s="1"/>
  <c r="I29" i="1" s="1"/>
  <c r="J29" i="1" s="1"/>
  <c r="K29" i="1" s="1"/>
  <c r="L29" i="1" s="1"/>
  <c r="M29" i="1" s="1"/>
  <c r="N29" i="1" s="1"/>
  <c r="H13" i="1"/>
  <c r="I13" i="1" s="1"/>
  <c r="J13" i="1" s="1"/>
  <c r="K13" i="1" s="1"/>
  <c r="L13" i="1" s="1"/>
  <c r="M13" i="1" s="1"/>
  <c r="N13" i="1" s="1"/>
  <c r="O44" i="1"/>
  <c r="O17" i="1"/>
  <c r="D36" i="1"/>
  <c r="F24" i="1"/>
  <c r="G24" i="1" s="1"/>
  <c r="H24" i="1" s="1"/>
  <c r="I24" i="1" s="1"/>
  <c r="J24" i="1" s="1"/>
  <c r="K24" i="1" s="1"/>
  <c r="L24" i="1" s="1"/>
  <c r="M24" i="1" s="1"/>
  <c r="N24" i="1" s="1"/>
  <c r="O21" i="1"/>
  <c r="F25" i="1"/>
  <c r="G25" i="1" s="1"/>
  <c r="H25" i="1" s="1"/>
  <c r="I25" i="1" s="1"/>
  <c r="J25" i="1" s="1"/>
  <c r="K25" i="1" s="1"/>
  <c r="L25" i="1" s="1"/>
  <c r="M25" i="1" s="1"/>
  <c r="N25" i="1" s="1"/>
  <c r="O14" i="1"/>
  <c r="N51" i="1"/>
  <c r="O51" i="1" s="1"/>
  <c r="O15" i="1"/>
  <c r="E52" i="1"/>
  <c r="F52" i="1" s="1"/>
  <c r="G52" i="1" s="1"/>
  <c r="H52" i="1" s="1"/>
  <c r="I52" i="1" s="1"/>
  <c r="J52" i="1" s="1"/>
  <c r="K52" i="1" s="1"/>
  <c r="L52" i="1" s="1"/>
  <c r="M52" i="1" s="1"/>
  <c r="N52" i="1" s="1"/>
  <c r="O26" i="1"/>
  <c r="G18" i="1"/>
  <c r="H18" i="1" s="1"/>
  <c r="I18" i="1" s="1"/>
  <c r="J18" i="1" s="1"/>
  <c r="K18" i="1" s="1"/>
  <c r="L18" i="1" s="1"/>
  <c r="M18" i="1" s="1"/>
  <c r="N18" i="1" s="1"/>
  <c r="E27" i="1"/>
  <c r="F27" i="1" s="1"/>
  <c r="G27" i="1" s="1"/>
  <c r="H27" i="1" s="1"/>
  <c r="I27" i="1" s="1"/>
  <c r="J27" i="1" s="1"/>
  <c r="K27" i="1" s="1"/>
  <c r="L27" i="1" s="1"/>
  <c r="M27" i="1" s="1"/>
  <c r="N27" i="1" s="1"/>
  <c r="E57" i="1"/>
  <c r="F57" i="1" s="1"/>
  <c r="G57" i="1" s="1"/>
  <c r="H57" i="1" s="1"/>
  <c r="I57" i="1" s="1"/>
  <c r="J57" i="1" s="1"/>
  <c r="K57" i="1" s="1"/>
  <c r="L57" i="1" s="1"/>
  <c r="M57" i="1" s="1"/>
  <c r="N57" i="1" s="1"/>
  <c r="E54" i="1"/>
  <c r="F54" i="1" s="1"/>
  <c r="G54" i="1" s="1"/>
  <c r="H54" i="1" s="1"/>
  <c r="I54" i="1" s="1"/>
  <c r="J54" i="1" s="1"/>
  <c r="K54" i="1" s="1"/>
  <c r="L54" i="1" s="1"/>
  <c r="M54" i="1" s="1"/>
  <c r="N54" i="1" s="1"/>
  <c r="O45" i="1"/>
  <c r="E33" i="1"/>
  <c r="F33" i="1" s="1"/>
  <c r="G33" i="1" s="1"/>
  <c r="H33" i="1" s="1"/>
  <c r="I33" i="1" s="1"/>
  <c r="J33" i="1" s="1"/>
  <c r="K33" i="1" s="1"/>
  <c r="L33" i="1" s="1"/>
  <c r="M33" i="1" s="1"/>
  <c r="N33" i="1" s="1"/>
  <c r="E47" i="1"/>
  <c r="F47" i="1" s="1"/>
  <c r="G47" i="1" s="1"/>
  <c r="H47" i="1" s="1"/>
  <c r="I47" i="1" s="1"/>
  <c r="J47" i="1" s="1"/>
  <c r="K47" i="1" s="1"/>
  <c r="L47" i="1" s="1"/>
  <c r="M47" i="1" s="1"/>
  <c r="N47" i="1" s="1"/>
  <c r="O23" i="1"/>
  <c r="E28" i="1"/>
  <c r="F28" i="1" s="1"/>
  <c r="G28" i="1" s="1"/>
  <c r="H28" i="1" s="1"/>
  <c r="I28" i="1" s="1"/>
  <c r="J28" i="1" s="1"/>
  <c r="K28" i="1" s="1"/>
  <c r="L28" i="1" s="1"/>
  <c r="M28" i="1" s="1"/>
  <c r="N28" i="1" s="1"/>
  <c r="O53" i="1"/>
  <c r="O58" i="1"/>
  <c r="E5" i="1"/>
  <c r="E16" i="1"/>
  <c r="F16" i="1" s="1"/>
  <c r="G16" i="1" s="1"/>
  <c r="H16" i="1" s="1"/>
  <c r="I16" i="1" s="1"/>
  <c r="J16" i="1" s="1"/>
  <c r="K16" i="1" s="1"/>
  <c r="L16" i="1" s="1"/>
  <c r="M16" i="1" s="1"/>
  <c r="N16" i="1" s="1"/>
  <c r="O46" i="1"/>
  <c r="E11" i="1"/>
  <c r="F11" i="1" s="1"/>
  <c r="G11" i="1" s="1"/>
  <c r="O31" i="1"/>
  <c r="E41" i="1"/>
  <c r="F41" i="1" s="1"/>
  <c r="G41" i="1" s="1"/>
  <c r="H41" i="1" s="1"/>
  <c r="I41" i="1" s="1"/>
  <c r="J41" i="1" s="1"/>
  <c r="K41" i="1" s="1"/>
  <c r="L41" i="1" s="1"/>
  <c r="M41" i="1" s="1"/>
  <c r="N41" i="1" s="1"/>
  <c r="E34" i="1"/>
  <c r="F34" i="1" s="1"/>
  <c r="G34" i="1" s="1"/>
  <c r="H34" i="1" s="1"/>
  <c r="I34" i="1" s="1"/>
  <c r="J34" i="1" s="1"/>
  <c r="K34" i="1" s="1"/>
  <c r="L34" i="1" s="1"/>
  <c r="M34" i="1" s="1"/>
  <c r="N34" i="1" s="1"/>
  <c r="O56" i="1"/>
  <c r="O59" i="1"/>
  <c r="O49" i="1"/>
  <c r="C61" i="1" l="1"/>
  <c r="D63" i="1"/>
  <c r="O8" i="1"/>
  <c r="T21" i="1"/>
  <c r="H21" i="4"/>
  <c r="I21" i="4" s="1"/>
  <c r="T45" i="1"/>
  <c r="H45" i="4"/>
  <c r="I45" i="4" s="1"/>
  <c r="T14" i="1"/>
  <c r="H14" i="4"/>
  <c r="I14" i="4" s="1"/>
  <c r="T35" i="1"/>
  <c r="H35" i="4"/>
  <c r="I35" i="4" s="1"/>
  <c r="T32" i="1"/>
  <c r="H32" i="4"/>
  <c r="I32" i="4" s="1"/>
  <c r="T46" i="1"/>
  <c r="H46" i="4"/>
  <c r="I46" i="4" s="1"/>
  <c r="O30" i="1"/>
  <c r="T8" i="1"/>
  <c r="H8" i="4"/>
  <c r="I8" i="4" s="1"/>
  <c r="T59" i="1"/>
  <c r="H59" i="4"/>
  <c r="I59" i="4" s="1"/>
  <c r="T53" i="1"/>
  <c r="H53" i="4"/>
  <c r="I53" i="4" s="1"/>
  <c r="T49" i="1"/>
  <c r="H49" i="4"/>
  <c r="I49" i="4" s="1"/>
  <c r="T58" i="1"/>
  <c r="H58" i="4"/>
  <c r="I58" i="4" s="1"/>
  <c r="T56" i="1"/>
  <c r="H56" i="4"/>
  <c r="I56" i="4" s="1"/>
  <c r="T26" i="1"/>
  <c r="H26" i="4"/>
  <c r="I26" i="4" s="1"/>
  <c r="T15" i="1"/>
  <c r="H15" i="4"/>
  <c r="I15" i="4" s="1"/>
  <c r="T44" i="1"/>
  <c r="H44" i="4"/>
  <c r="I44" i="4" s="1"/>
  <c r="O18" i="1"/>
  <c r="O7" i="1"/>
  <c r="T23" i="1"/>
  <c r="H23" i="4"/>
  <c r="I23" i="4" s="1"/>
  <c r="T31" i="1"/>
  <c r="H31" i="4"/>
  <c r="I31" i="4" s="1"/>
  <c r="T51" i="1"/>
  <c r="H51" i="4"/>
  <c r="I51" i="4" s="1"/>
  <c r="G23" i="2"/>
  <c r="G10" i="1"/>
  <c r="I9" i="1"/>
  <c r="I22" i="2"/>
  <c r="N16" i="2"/>
  <c r="H43" i="4"/>
  <c r="I43" i="4" s="1"/>
  <c r="T42" i="1"/>
  <c r="H42" i="4"/>
  <c r="I42" i="4" s="1"/>
  <c r="T17" i="1"/>
  <c r="H17" i="4"/>
  <c r="I17" i="4" s="1"/>
  <c r="L62" i="4"/>
  <c r="L74" i="4" s="1"/>
  <c r="O16" i="1"/>
  <c r="O6" i="1"/>
  <c r="O55" i="1"/>
  <c r="O28" i="1"/>
  <c r="O41" i="1"/>
  <c r="O20" i="1"/>
  <c r="O33" i="1"/>
  <c r="O13" i="1"/>
  <c r="D61" i="1"/>
  <c r="O12" i="1"/>
  <c r="E36" i="1"/>
  <c r="F5" i="1"/>
  <c r="O48" i="1"/>
  <c r="O11" i="1"/>
  <c r="O19" i="1"/>
  <c r="O54" i="1"/>
  <c r="O22" i="1"/>
  <c r="O27" i="1"/>
  <c r="O50" i="1"/>
  <c r="C36" i="1"/>
  <c r="C37" i="1" s="1"/>
  <c r="O24" i="1"/>
  <c r="O52" i="1"/>
  <c r="E60" i="1"/>
  <c r="E63" i="1" s="1"/>
  <c r="F40" i="1"/>
  <c r="O47" i="1"/>
  <c r="O29" i="1"/>
  <c r="O57" i="1"/>
  <c r="O34" i="1"/>
  <c r="O25" i="1"/>
  <c r="C63" i="1" l="1"/>
  <c r="T25" i="1"/>
  <c r="H25" i="4"/>
  <c r="I25" i="4" s="1"/>
  <c r="T34" i="1"/>
  <c r="H34" i="4"/>
  <c r="I34" i="4" s="1"/>
  <c r="T27" i="1"/>
  <c r="H27" i="4"/>
  <c r="I27" i="4" s="1"/>
  <c r="T13" i="1"/>
  <c r="H13" i="4"/>
  <c r="I13" i="4" s="1"/>
  <c r="T29" i="1"/>
  <c r="H29" i="4"/>
  <c r="I29" i="4" s="1"/>
  <c r="T54" i="1"/>
  <c r="H54" i="4"/>
  <c r="I54" i="4" s="1"/>
  <c r="T48" i="1"/>
  <c r="H48" i="4"/>
  <c r="I48" i="4" s="1"/>
  <c r="T52" i="1"/>
  <c r="H52" i="4"/>
  <c r="I52" i="4" s="1"/>
  <c r="T16" i="1"/>
  <c r="H16" i="4"/>
  <c r="I16" i="4" s="1"/>
  <c r="T18" i="1"/>
  <c r="H18" i="4"/>
  <c r="I18" i="4" s="1"/>
  <c r="T50" i="1"/>
  <c r="H50" i="4"/>
  <c r="I50" i="4" s="1"/>
  <c r="T57" i="1"/>
  <c r="H57" i="4"/>
  <c r="I57" i="4" s="1"/>
  <c r="T22" i="1"/>
  <c r="H22" i="4"/>
  <c r="I22" i="4" s="1"/>
  <c r="T33" i="1"/>
  <c r="H33" i="4"/>
  <c r="I33" i="4" s="1"/>
  <c r="T20" i="1"/>
  <c r="H20" i="4"/>
  <c r="I20" i="4" s="1"/>
  <c r="T47" i="1"/>
  <c r="H47" i="4"/>
  <c r="I47" i="4" s="1"/>
  <c r="T41" i="1"/>
  <c r="H41" i="4"/>
  <c r="I41" i="4" s="1"/>
  <c r="T11" i="1"/>
  <c r="H11" i="4"/>
  <c r="I11" i="4" s="1"/>
  <c r="T28" i="1"/>
  <c r="H28" i="4"/>
  <c r="I28" i="4" s="1"/>
  <c r="T55" i="1"/>
  <c r="H55" i="4"/>
  <c r="I55" i="4" s="1"/>
  <c r="T6" i="1"/>
  <c r="H6" i="4"/>
  <c r="I6" i="4" s="1"/>
  <c r="T7" i="1"/>
  <c r="H7" i="4"/>
  <c r="I7" i="4" s="1"/>
  <c r="T30" i="1"/>
  <c r="H30" i="4"/>
  <c r="I30" i="4" s="1"/>
  <c r="T12" i="1"/>
  <c r="H12" i="4"/>
  <c r="I12" i="4" s="1"/>
  <c r="T24" i="1"/>
  <c r="H24" i="4"/>
  <c r="I24" i="4" s="1"/>
  <c r="H23" i="2"/>
  <c r="H10" i="1"/>
  <c r="J9" i="1"/>
  <c r="J22" i="2"/>
  <c r="T19" i="1"/>
  <c r="H19" i="4"/>
  <c r="I19" i="4" s="1"/>
  <c r="M62" i="4"/>
  <c r="E61" i="1"/>
  <c r="F36" i="1"/>
  <c r="G5" i="1"/>
  <c r="G40" i="1"/>
  <c r="F60" i="1"/>
  <c r="D37" i="1"/>
  <c r="E37" i="1" s="1"/>
  <c r="F63" i="1" l="1"/>
  <c r="I23" i="2"/>
  <c r="I10" i="1"/>
  <c r="K9" i="1"/>
  <c r="K22" i="2"/>
  <c r="F37" i="1"/>
  <c r="F61" i="1"/>
  <c r="H40" i="1"/>
  <c r="G60" i="1"/>
  <c r="G36" i="1"/>
  <c r="H5" i="1"/>
  <c r="G63" i="1" l="1"/>
  <c r="G61" i="1"/>
  <c r="J10" i="1"/>
  <c r="J23" i="2"/>
  <c r="L9" i="1"/>
  <c r="L22" i="2"/>
  <c r="G37" i="1"/>
  <c r="H36" i="1"/>
  <c r="I5" i="1"/>
  <c r="I40" i="1"/>
  <c r="H60" i="1"/>
  <c r="H61" i="1" l="1"/>
  <c r="H63" i="1"/>
  <c r="K10" i="1"/>
  <c r="K23" i="2"/>
  <c r="M9" i="1"/>
  <c r="M22" i="2"/>
  <c r="N9" i="1" s="1"/>
  <c r="H37" i="1"/>
  <c r="J40" i="1"/>
  <c r="I60" i="1"/>
  <c r="J5" i="1"/>
  <c r="I36" i="1"/>
  <c r="I61" i="1" l="1"/>
  <c r="I63" i="1"/>
  <c r="I37" i="1"/>
  <c r="L10" i="1"/>
  <c r="L23" i="2"/>
  <c r="O9" i="1"/>
  <c r="K5" i="1"/>
  <c r="J36" i="1"/>
  <c r="J37" i="1" s="1"/>
  <c r="K40" i="1"/>
  <c r="J60" i="1"/>
  <c r="J61" i="1" l="1"/>
  <c r="J63" i="1"/>
  <c r="M10" i="1"/>
  <c r="M23" i="2"/>
  <c r="N10" i="1" s="1"/>
  <c r="O10" i="1" s="1"/>
  <c r="H9" i="4"/>
  <c r="T9" i="1"/>
  <c r="L5" i="1"/>
  <c r="K36" i="1"/>
  <c r="K37" i="1" s="1"/>
  <c r="L40" i="1"/>
  <c r="K60" i="1"/>
  <c r="K61" i="1" l="1"/>
  <c r="K63" i="1"/>
  <c r="T10" i="1"/>
  <c r="H10" i="4"/>
  <c r="I10" i="4" s="1"/>
  <c r="I9" i="4"/>
  <c r="L60" i="1"/>
  <c r="M40" i="1"/>
  <c r="M5" i="1"/>
  <c r="L36" i="1"/>
  <c r="L37" i="1" s="1"/>
  <c r="L61" i="1" l="1"/>
  <c r="L63" i="1"/>
  <c r="N5" i="1"/>
  <c r="N36" i="1" s="1"/>
  <c r="M36" i="1"/>
  <c r="M37" i="1" s="1"/>
  <c r="O5" i="1"/>
  <c r="H5" i="4" s="1"/>
  <c r="N40" i="1"/>
  <c r="M60" i="1"/>
  <c r="M61" i="1" l="1"/>
  <c r="M63" i="1"/>
  <c r="I5" i="4"/>
  <c r="H36" i="4"/>
  <c r="N37" i="1"/>
  <c r="O36" i="1"/>
  <c r="T5" i="1"/>
  <c r="N60" i="1"/>
  <c r="O40" i="1"/>
  <c r="H40" i="4" s="1"/>
  <c r="I40" i="4" s="1"/>
  <c r="N61" i="1" l="1"/>
  <c r="N63" i="1"/>
  <c r="O60" i="1"/>
  <c r="T40" i="1"/>
  <c r="O63" i="1" l="1"/>
  <c r="H60" i="4"/>
  <c r="H6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Platteville-Airport</author>
    <author>tc={6C270194-1E31-4EC0-9107-2518896B4B19}</author>
  </authors>
  <commentList>
    <comment ref="P9" authorId="0" shapeId="0" xr:uid="{E16976A9-6E39-4A5F-9412-129B5957D745}">
      <text>
        <r>
          <rPr>
            <b/>
            <sz val="9"/>
            <color rgb="FF000000"/>
            <rFont val="Tahoma"/>
            <family val="2"/>
          </rPr>
          <t>Platteville-Airport: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Assuming 19000 gallons purchased at $3.50/gallon</t>
        </r>
      </text>
    </comment>
    <comment ref="P10" authorId="0" shapeId="0" xr:uid="{4F183BA0-88E5-4D51-81D8-0B8AA78C7963}">
      <text>
        <r>
          <rPr>
            <b/>
            <sz val="9"/>
            <color indexed="81"/>
            <rFont val="Tahoma"/>
            <family val="2"/>
          </rPr>
          <t>Platteville-Airport:</t>
        </r>
        <r>
          <rPr>
            <sz val="9"/>
            <color indexed="81"/>
            <rFont val="Tahoma"/>
            <family val="2"/>
          </rPr>
          <t xml:space="preserve">
Assuming 26000 gallons purchased at $2.00/gallon</t>
        </r>
      </text>
    </comment>
    <comment ref="P18" authorId="1" shapeId="0" xr:uid="{6C270194-1E31-4EC0-9107-2518896B4B19}">
      <text>
        <t>[Threaded comment]
Your version of Excel allows you to read this threaded comment; however, any edits to it will get removed if the file is opened in a newer version of Excel. Learn more: https://go.microsoft.com/fwlink/?linkid=870924
Comment:
    5% 165,000 master plan + 10% of $750,000 for Hangar
Reply:
    Master Plan - Part 2 was already budgetd in 2020 both City and Airport CIP budgets, so this amount will adjust down to include only the Hangar project
Reply:
    Adjusted: $75,000 for T-Hangar, $6,000 for Phase 2 Master Plan and City contribution of $4,750 c/o from 2020 CIP budget.</t>
      </text>
    </comment>
    <comment ref="P46" authorId="0" shapeId="0" xr:uid="{608192E9-D1E7-46EA-8E8A-DCAC00C20395}">
      <text>
        <r>
          <rPr>
            <b/>
            <sz val="9"/>
            <color rgb="FF000000"/>
            <rFont val="Tahoma"/>
            <family val="2"/>
          </rPr>
          <t>Platteville-Airport: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Assuming partial rent collected from new 10 hangar unit.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Platteville-Airport</author>
    <author>tc={AB04B032-AC2A-46DC-BCAD-D17D037F0DD9}</author>
  </authors>
  <commentList>
    <comment ref="E9" authorId="0" shapeId="0" xr:uid="{66B85A6B-44FF-4291-8690-07E9BBAF753B}">
      <text>
        <r>
          <rPr>
            <b/>
            <sz val="9"/>
            <color rgb="FF000000"/>
            <rFont val="Tahoma"/>
            <family val="2"/>
          </rPr>
          <t>Platteville-Airport: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Assuming 19000 gallons purchased at $3.50/gallon</t>
        </r>
      </text>
    </comment>
    <comment ref="E10" authorId="0" shapeId="0" xr:uid="{19BC807E-3724-46D4-B2AE-0ADD27448720}">
      <text>
        <r>
          <rPr>
            <b/>
            <sz val="9"/>
            <color indexed="81"/>
            <rFont val="Tahoma"/>
            <family val="2"/>
          </rPr>
          <t>Platteville-Airport:</t>
        </r>
        <r>
          <rPr>
            <sz val="9"/>
            <color indexed="81"/>
            <rFont val="Tahoma"/>
            <family val="2"/>
          </rPr>
          <t xml:space="preserve">
Assuming 26000 gallons purchased at $2.00/gallon</t>
        </r>
      </text>
    </comment>
    <comment ref="E18" authorId="1" shapeId="0" xr:uid="{AB04B032-AC2A-46DC-BCAD-D17D037F0DD9}">
      <text>
        <t>[Threaded comment]
Your version of Excel allows you to read this threaded comment; however, any edits to it will get removed if the file is opened in a newer version of Excel. Learn more: https://go.microsoft.com/fwlink/?linkid=870924
Comment:
    5% 165,000 master plan + 10% of $750,000 for Hangar
Reply:
    Master Plan - Part 2 was already budgetd in 2020 both City and Airport CIP budgets, so this amount will adjust down to include only the Hangar project
Reply:
    Adjusted: $75,000 for T-Hangar, $6,000 for Phase 2 Master Plan and City contribution of $4,750 c/o from 2020 CIP budget.</t>
      </text>
    </comment>
    <comment ref="E46" authorId="0" shapeId="0" xr:uid="{D4F7093D-233D-4845-A875-DA5AD992F2C8}">
      <text>
        <r>
          <rPr>
            <b/>
            <sz val="9"/>
            <color indexed="81"/>
            <rFont val="Tahoma"/>
            <family val="2"/>
          </rPr>
          <t>Platteville-Airport:</t>
        </r>
        <r>
          <rPr>
            <sz val="9"/>
            <color indexed="81"/>
            <rFont val="Tahoma"/>
            <family val="2"/>
          </rPr>
          <t xml:space="preserve">
Assuming partial rent collected from new 10 hangar unit.</t>
        </r>
      </text>
    </comment>
  </commentList>
</comments>
</file>

<file path=xl/sharedStrings.xml><?xml version="1.0" encoding="utf-8"?>
<sst xmlns="http://schemas.openxmlformats.org/spreadsheetml/2006/main" count="477" uniqueCount="316">
  <si>
    <t>2024-25</t>
  </si>
  <si>
    <t>Account Number</t>
  </si>
  <si>
    <t>Account Title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</si>
  <si>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</si>
  <si>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</si>
  <si>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</si>
  <si>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</si>
  <si>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</si>
  <si>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</si>
  <si>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</si>
  <si>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</si>
  <si>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</si>
  <si>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</si>
  <si>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</si>
  <si>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</si>
  <si>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Department Budget</t>
  </si>
  <si>
    <t>Adopted Budget</t>
  </si>
  <si>
    <t>June 30th YTD Actual</t>
  </si>
  <si>
    <t>Actual</t>
  </si>
  <si>
    <t>Budget
% change</t>
  </si>
  <si>
    <t>AIRPORT: OTHER WAGES</t>
  </si>
  <si>
    <t>AIRPORT: SOC SEC</t>
  </si>
  <si>
    <t>AIRPORT: MEDICARE</t>
  </si>
  <si>
    <t>AIRPORT: ATTORNEY FEES</t>
  </si>
  <si>
    <t>AIRPORT: FUEL 100LL</t>
  </si>
  <si>
    <t>AIRPORT: FUEL JET-A PURCHASE</t>
  </si>
  <si>
    <t>AIRPORT: FUEL MAINTENANCE</t>
  </si>
  <si>
    <t>AIRPORT: FAHERTY RECYCLING</t>
  </si>
  <si>
    <t>AIRPORT: BUILDINGS &amp; GROUNDS</t>
  </si>
  <si>
    <t>AIRPORT: COURTESY CAR MAINT.</t>
  </si>
  <si>
    <t>AIRPORT: 10 BAY HANGAR LOAN</t>
  </si>
  <si>
    <t>AIRPORT: FUEL PURCHASES</t>
  </si>
  <si>
    <t>AIRPORT: FUEL FLOWAGE (TO MGR-</t>
  </si>
  <si>
    <t>AIRPORT: FED/WI GRANT PROJECTS</t>
  </si>
  <si>
    <t>AIRPORT: CREDIT CARD FEES</t>
  </si>
  <si>
    <t>AIRPORT: GENERAL SUPPLIES</t>
  </si>
  <si>
    <t>AIRPORT: PROPANE</t>
  </si>
  <si>
    <t>AIRPORT: CONTRACT MAINTENANCE</t>
  </si>
  <si>
    <t>AIRPORT: LIABILITY INS</t>
  </si>
  <si>
    <t>AIRPORT: AIRPORT MGR'S CONTRAC</t>
  </si>
  <si>
    <t>AIRPORT: POSTAGE</t>
  </si>
  <si>
    <t>AIRPORT: PR &amp; ADVERTISING</t>
  </si>
  <si>
    <t>AIRPORT: RUNWAY LIGHTING</t>
  </si>
  <si>
    <t>AIRPORT: SALES TAX</t>
  </si>
  <si>
    <t>AIRPORT: CONTINGENCY</t>
  </si>
  <si>
    <t>AIRPORT: TELEPHONE</t>
  </si>
  <si>
    <t>AIRPORT: ALLIANT</t>
  </si>
  <si>
    <t>AIRPORT: TRAVEL &amp; CONFERENCES</t>
  </si>
  <si>
    <t>AIRPORT: AVIATION FUEL TAX</t>
  </si>
  <si>
    <t>AIRPORT: EQUIPMENT EXPENSES</t>
  </si>
  <si>
    <t>AIRPORT: AIRPORT OUTLAY</t>
  </si>
  <si>
    <t>TOTAL EXPENSES AIRPORT</t>
  </si>
  <si>
    <t>REVENUES</t>
  </si>
  <si>
    <t>State Airport Grant</t>
  </si>
  <si>
    <t>AIRPORT: DONATIONS</t>
  </si>
  <si>
    <t>Fuel: 100LL Sales</t>
  </si>
  <si>
    <t>Fuel: Jet-A Sales</t>
  </si>
  <si>
    <t>CORPORATE HANGAR</t>
  </si>
  <si>
    <t>LAND RENT FOR PRIVATE HANGARS</t>
  </si>
  <si>
    <t>HANGAR RENT</t>
  </si>
  <si>
    <t>INTEREST AIRPORT INVESTMENT</t>
  </si>
  <si>
    <t>INTEREST - NOW ACCOUNT</t>
  </si>
  <si>
    <t>LAND RENTAL PARCEL A</t>
  </si>
  <si>
    <t>LAND RENTAL PARCEL B</t>
  </si>
  <si>
    <t>LAND RENTAL PARCEL C</t>
  </si>
  <si>
    <t>PANCAKE BREAKFAST</t>
  </si>
  <si>
    <t>MISCELLANEOUS</t>
  </si>
  <si>
    <t>INS PAYMENTS</t>
  </si>
  <si>
    <t>SALE OF AIRPORT ITEMS</t>
  </si>
  <si>
    <t>MAIN HANGAR RENT</t>
  </si>
  <si>
    <t>CIP PAYMENT FROM CITY</t>
  </si>
  <si>
    <t>VENDING SALES</t>
  </si>
  <si>
    <t>AIRPORT VENDING SALES</t>
  </si>
  <si>
    <t>TOTAL REVENUE AIRPORT</t>
  </si>
  <si>
    <t>To / (From) Fund Balance</t>
  </si>
  <si>
    <t>100 LL</t>
  </si>
  <si>
    <t>Jet A</t>
  </si>
  <si>
    <t>2022</t>
  </si>
  <si>
    <t>2023</t>
  </si>
  <si>
    <t>2024</t>
  </si>
  <si>
    <t>Inc/Dec Factor</t>
  </si>
  <si>
    <t>2026</t>
  </si>
  <si>
    <t>100LL Cost</t>
  </si>
  <si>
    <t>Jet-A Cost</t>
  </si>
  <si>
    <t>100LL Margin</t>
  </si>
  <si>
    <t>Jet-A Margin</t>
  </si>
  <si>
    <t>2025-26</t>
  </si>
  <si>
    <t>Curr Year Estimate</t>
  </si>
  <si>
    <t>Executive Budget</t>
  </si>
  <si>
    <t>CM Budget
% change</t>
  </si>
  <si>
    <t>Cncil Bdgt
% change</t>
  </si>
  <si>
    <t>LIABILITIES</t>
  </si>
  <si>
    <t>200-21211-000-000</t>
  </si>
  <si>
    <t>200-21220-000-000</t>
  </si>
  <si>
    <t>200-23160-000-000</t>
  </si>
  <si>
    <t>200-26000-000-000</t>
  </si>
  <si>
    <t>200-27015-000-000</t>
  </si>
  <si>
    <t>200-27238-000-000</t>
  </si>
  <si>
    <t>TOTAL LIABILITIES AIRPORT</t>
  </si>
  <si>
    <t>EQUITY ACCOUNTS</t>
  </si>
  <si>
    <t>200-31110-000-000</t>
  </si>
  <si>
    <t>AIRPORT FUND BALANCE</t>
  </si>
  <si>
    <t xml:space="preserve">20950 Rennick Rd Shullsberg, WI 53586 </t>
  </si>
  <si>
    <t>414-380-7433</t>
  </si>
  <si>
    <t>MONTHLY CHECK</t>
  </si>
  <si>
    <t>Cessna 150</t>
  </si>
  <si>
    <t xml:space="preserve"> N61028</t>
  </si>
  <si>
    <t>10 Bay - 18</t>
  </si>
  <si>
    <t>Chris Price</t>
  </si>
  <si>
    <t>1046 Tillie Ln Hazel Green, WI 53811</t>
  </si>
  <si>
    <t>563-581-2036</t>
  </si>
  <si>
    <t>bsolverson@gmail.com</t>
  </si>
  <si>
    <t>Current</t>
  </si>
  <si>
    <t>Piper Archer</t>
  </si>
  <si>
    <t>N3474M</t>
  </si>
  <si>
    <t>10 Bay - 17</t>
  </si>
  <si>
    <t>Britt Solverson</t>
  </si>
  <si>
    <t>5974 HWY 80 PO Box 721 Platteville, WI 53818</t>
  </si>
  <si>
    <t>563-599-9728</t>
  </si>
  <si>
    <t>Duggan4444@gmail.com</t>
  </si>
  <si>
    <t>12 MONTHS</t>
  </si>
  <si>
    <t>Piper</t>
  </si>
  <si>
    <t>N5107T</t>
  </si>
  <si>
    <t>06 Bay - 03</t>
  </si>
  <si>
    <t>Dustan Duggan</t>
  </si>
  <si>
    <t>1030 St HWY 148 Corning, IA 50841</t>
  </si>
  <si>
    <t>blake24.2004@gmail.com</t>
  </si>
  <si>
    <t>Past</t>
  </si>
  <si>
    <t>Cessna 172E</t>
  </si>
  <si>
    <t>N5560T</t>
  </si>
  <si>
    <t>10 Bay - 19</t>
  </si>
  <si>
    <t>Blake Thomas</t>
  </si>
  <si>
    <t>3977 Commercial Ave- Stitzer WI 53825</t>
  </si>
  <si>
    <t>608-778-1303</t>
  </si>
  <si>
    <t>garyladdison51@gmail.com, addisongary1951@gmail.com</t>
  </si>
  <si>
    <t>Ultra Light Hawk</t>
  </si>
  <si>
    <t>06 Bay - 07</t>
  </si>
  <si>
    <t>Gary Addison</t>
  </si>
  <si>
    <t>PO Box 75 Dubuque, IA 52001</t>
  </si>
  <si>
    <t>319-594-0898</t>
  </si>
  <si>
    <t>kombolasha@gmail.com</t>
  </si>
  <si>
    <t>Ahmed Taha</t>
  </si>
  <si>
    <t>Cessna 310Q</t>
  </si>
  <si>
    <t>N7744Q</t>
  </si>
  <si>
    <t>06 Bay - 04</t>
  </si>
  <si>
    <t>Iron Bird LLC</t>
  </si>
  <si>
    <t>Kyle: 1382 Center Road, Hazel Green WI 53811. Ben: 29975 CTY Road H, Cuba City, WI 53807</t>
  </si>
  <si>
    <t>Kyle: 608-732-1243. Ben: 608-732-2978</t>
  </si>
  <si>
    <t>10440 a year split into two payments</t>
  </si>
  <si>
    <t>6 MONTHS</t>
  </si>
  <si>
    <t>Land Parcel B</t>
  </si>
  <si>
    <t xml:space="preserve">Kyle and Ben Kaiser </t>
  </si>
  <si>
    <t>Kyle: 1382 Center Road, Hazel Green WI 53811.  Ben: 29975 CTY Road H, Cuba City, WI 53807</t>
  </si>
  <si>
    <t xml:space="preserve">1272 a year, split into two payments. </t>
  </si>
  <si>
    <t>Land Parcel C</t>
  </si>
  <si>
    <t>Kyle and Ben Kaiser</t>
  </si>
  <si>
    <t>14127 Clayton Ln Belmont, WI 53510</t>
  </si>
  <si>
    <t>608-778-2992</t>
  </si>
  <si>
    <t>jjrrol@icloud.com</t>
  </si>
  <si>
    <t>3 Keys in the office for this hangar not a single one of them work</t>
  </si>
  <si>
    <t>American Champion 8GCBC</t>
  </si>
  <si>
    <t>N617MA</t>
  </si>
  <si>
    <t>10 Bay - 16</t>
  </si>
  <si>
    <t>Joe Olthafer</t>
  </si>
  <si>
    <t>2275 Theda Dr. Dubuque, IA 52001</t>
  </si>
  <si>
    <t>920-530-2887</t>
  </si>
  <si>
    <t>nathanknutson4@gmail.com</t>
  </si>
  <si>
    <t>American AA-1</t>
  </si>
  <si>
    <t>N6189L</t>
  </si>
  <si>
    <t>10 Bay - 22</t>
  </si>
  <si>
    <t>Nathan Knutson</t>
  </si>
  <si>
    <t>1589 N Mulford Rd Lindenwood, IL 61049</t>
  </si>
  <si>
    <t>win8ive@yahoo.com</t>
  </si>
  <si>
    <t>Private Hangar Land Lease</t>
  </si>
  <si>
    <t>Jason Klovning</t>
  </si>
  <si>
    <t>"bradhuekels@gmail.com" &lt;bradhuekels@gmail.com&gt;</t>
  </si>
  <si>
    <t>1770 a year</t>
  </si>
  <si>
    <t>Jet Services of Iowa</t>
  </si>
  <si>
    <t>3300 a year</t>
  </si>
  <si>
    <t>Kaiser</t>
  </si>
  <si>
    <t>468 a year</t>
  </si>
  <si>
    <t>Gary Newt</t>
  </si>
  <si>
    <t>175 E Dewey Street  Platteville WI 53818</t>
  </si>
  <si>
    <t>608-778-0707</t>
  </si>
  <si>
    <t>dana_harkness@yahoo.com</t>
  </si>
  <si>
    <t>End Storage</t>
  </si>
  <si>
    <t>Dana Harkness</t>
  </si>
  <si>
    <t>12050 Tama Run Lane Darlington, WI 53530</t>
  </si>
  <si>
    <t>Wiegeltracy1@gmail.com</t>
  </si>
  <si>
    <t>Aircraft dereg. Canceled in 2013</t>
  </si>
  <si>
    <t>Piper Arrow</t>
  </si>
  <si>
    <t>06 Bay - 08</t>
  </si>
  <si>
    <t>Tracy Wiegel</t>
  </si>
  <si>
    <t>2637 Nebraska St, Dubuque 52001</t>
  </si>
  <si>
    <t>218-929-7858</t>
  </si>
  <si>
    <t>lindholmpa@gmail.com</t>
  </si>
  <si>
    <t>American Legend Aircraft Co. AL-18</t>
  </si>
  <si>
    <t>N123LC</t>
  </si>
  <si>
    <t>06 Bay - 02</t>
  </si>
  <si>
    <t>Paul Lindholm</t>
  </si>
  <si>
    <t>10 Preston Dr. Platteville, WI 53818</t>
  </si>
  <si>
    <t>608-778-7711</t>
  </si>
  <si>
    <t>dougstephens5@gmail.com</t>
  </si>
  <si>
    <t>06 E. End</t>
  </si>
  <si>
    <t>Doug Stephens</t>
  </si>
  <si>
    <t>1230 Stans Ct Platteville, WI 53818</t>
  </si>
  <si>
    <t>608-642-3544</t>
  </si>
  <si>
    <t>gregbarnet@hotmail.com</t>
  </si>
  <si>
    <t>06 W. End</t>
  </si>
  <si>
    <t>Greg Barnet</t>
  </si>
  <si>
    <t>2472 Amber Ridge Dr Asbury, IA 52002</t>
  </si>
  <si>
    <t>815-973-3352</t>
  </si>
  <si>
    <t>erikmcwethy@yahoo.com</t>
  </si>
  <si>
    <t>Experimental Zenith</t>
  </si>
  <si>
    <t>N601EB</t>
  </si>
  <si>
    <t>06 Bay - 11</t>
  </si>
  <si>
    <t>Eric McWethy</t>
  </si>
  <si>
    <t>402 4th St Galenia, IL 61036</t>
  </si>
  <si>
    <t>815-297-6446</t>
  </si>
  <si>
    <t>jamie5363@me.com</t>
  </si>
  <si>
    <t>Aeroca Champion 7AC</t>
  </si>
  <si>
    <t>N1254E</t>
  </si>
  <si>
    <t>06 Bay - 10</t>
  </si>
  <si>
    <t>Jamie Miller</t>
  </si>
  <si>
    <t>210 S Water St Platteville, WI 53818</t>
  </si>
  <si>
    <t>608-778-7796</t>
  </si>
  <si>
    <t>jackctp@gmail.com</t>
  </si>
  <si>
    <t>Cirrus SR22T</t>
  </si>
  <si>
    <t>N709LJ</t>
  </si>
  <si>
    <t>06 Bay - 05</t>
  </si>
  <si>
    <t>Jack Momchilovich</t>
  </si>
  <si>
    <t>Mooney M20R</t>
  </si>
  <si>
    <t>N52TF</t>
  </si>
  <si>
    <t>06 Bay - 06</t>
  </si>
  <si>
    <t>W2208 Mclean Dr, Warrens, WI 54666</t>
  </si>
  <si>
    <t>608-354-4600</t>
  </si>
  <si>
    <t>heppfam1970@gmail.com</t>
  </si>
  <si>
    <t>PA28</t>
  </si>
  <si>
    <t>N9481K</t>
  </si>
  <si>
    <t>06 Bay - 12</t>
  </si>
  <si>
    <t>Jeff Hepp</t>
  </si>
  <si>
    <t>10 East End Storage Unit</t>
  </si>
  <si>
    <t>110 N Level St  Dodgeville, WI 53533-1432</t>
  </si>
  <si>
    <t>608-574-6918</t>
  </si>
  <si>
    <t>raptorrrguy@yahoo.com</t>
  </si>
  <si>
    <t>10 West End Storage Unit</t>
  </si>
  <si>
    <t>Jim Jordan</t>
  </si>
  <si>
    <t>5 Jones Street Dubuque, IA 52001</t>
  </si>
  <si>
    <t>563-513-6046</t>
  </si>
  <si>
    <t>Tele77@comcast.net</t>
  </si>
  <si>
    <t>Aircraft registration was canceled in 2014, but the aircraft is still in the hangar</t>
  </si>
  <si>
    <t>Cessna 150TW</t>
  </si>
  <si>
    <t>N180JB</t>
  </si>
  <si>
    <t>10 Bay - 21</t>
  </si>
  <si>
    <t>Darcee Newt Mond</t>
  </si>
  <si>
    <t>5621 Hwy 130 Dodgeville, WI 53533</t>
  </si>
  <si>
    <t>608-553-3070</t>
  </si>
  <si>
    <t>brianjadams30@gmail.com</t>
  </si>
  <si>
    <t>Hangar has multiple none aviation items in it</t>
  </si>
  <si>
    <t>Challenger 2</t>
  </si>
  <si>
    <t>N7256R</t>
  </si>
  <si>
    <t>06 Bay - 01</t>
  </si>
  <si>
    <t>Brian Adams</t>
  </si>
  <si>
    <t>Twin Comanche</t>
  </si>
  <si>
    <t>N567TC</t>
  </si>
  <si>
    <t>06 Bay - 09</t>
  </si>
  <si>
    <t>8365 Cessna Dr, New Port Richey, FL</t>
  </si>
  <si>
    <t>847-875-3339</t>
  </si>
  <si>
    <t>doug.bartlett79@gmail.com</t>
  </si>
  <si>
    <t>WI Address: 4181 Elm Road, Potosi, WI 53820</t>
  </si>
  <si>
    <t>Vans RV-14A</t>
  </si>
  <si>
    <t>N218DT</t>
  </si>
  <si>
    <t>Doug Bartlett</t>
  </si>
  <si>
    <t>4 Seneca Trail Galena, IL 61036</t>
  </si>
  <si>
    <t>847-846-3198</t>
  </si>
  <si>
    <t>jsener2011@gmail.com</t>
  </si>
  <si>
    <t>Piper PA28-236</t>
  </si>
  <si>
    <t>N8109Z</t>
  </si>
  <si>
    <t>10 Bay - 15</t>
  </si>
  <si>
    <t>Joe Sener</t>
  </si>
  <si>
    <t>32 Longwood Dr. Galena, IL 61036</t>
  </si>
  <si>
    <t>618-975-9369</t>
  </si>
  <si>
    <t>patrick.holcomb1@gmail.com</t>
  </si>
  <si>
    <t>Ryan NavionB</t>
  </si>
  <si>
    <t>N10894</t>
  </si>
  <si>
    <t>10 Bay - 14</t>
  </si>
  <si>
    <t>Patrick Holcomb</t>
  </si>
  <si>
    <t>7223 Whig Rd. Platteville, WI 53818</t>
  </si>
  <si>
    <t>608-642-3131</t>
  </si>
  <si>
    <t>noah.stader@gmail.com; mike.dalecki@gmail.com</t>
  </si>
  <si>
    <t>PA-28</t>
  </si>
  <si>
    <t>N6743J</t>
  </si>
  <si>
    <t>10 Bay - 13</t>
  </si>
  <si>
    <t>Noah Stader</t>
  </si>
  <si>
    <t>Address</t>
  </si>
  <si>
    <t>Phone</t>
  </si>
  <si>
    <t>Email</t>
  </si>
  <si>
    <t>Notes</t>
  </si>
  <si>
    <t>Status</t>
  </si>
  <si>
    <t>COI Expiration Date</t>
  </si>
  <si>
    <t>Lease Agreement</t>
  </si>
  <si>
    <t>Payment Method</t>
  </si>
  <si>
    <t>Monthly Rent</t>
  </si>
  <si>
    <t>Aircraft Type</t>
  </si>
  <si>
    <t>Registration Number</t>
  </si>
  <si>
    <t>T-Hangar</t>
  </si>
  <si>
    <t>Customer</t>
  </si>
  <si>
    <t>YTD Act/Est</t>
  </si>
  <si>
    <t>Looks like rent is past due since July 2025?</t>
  </si>
  <si>
    <t>Pays 3 months at a time</t>
  </si>
  <si>
    <t>T-Hangars</t>
  </si>
  <si>
    <t>Total</t>
  </si>
  <si>
    <t>12 Mo</t>
  </si>
  <si>
    <t>6 Mo</t>
  </si>
  <si>
    <t>Monthly</t>
  </si>
  <si>
    <t>Proposed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</si>
</sst>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##\-#####\-###\-###"/>
  </numFmts>
  <fonts count="1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i/>
      <u/>
      <sz val="12"/>
      <color theme="1"/>
      <name val="Calibri"/>
      <family val="2"/>
    </font>
    <font>
      <b/>
      <i/>
      <sz val="11"/>
      <color theme="1"/>
      <name val="Calibri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</font>
    <font>
      <i/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FCF4E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4" fillId="0" borderId="0" xfId="0" applyFont="1"/>
    <xf numFmtId="164" fontId="4" fillId="0" borderId="0" xfId="1" applyNumberFormat="1" applyFont="1"/>
    <xf numFmtId="14" fontId="5" fillId="0" borderId="0" xfId="0" applyNumberFormat="1" applyFont="1" applyAlignment="1">
      <alignment horizontal="center"/>
    </xf>
    <xf numFmtId="14" fontId="5" fillId="2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6" fillId="0" borderId="0" xfId="1" applyNumberFormat="1" applyFont="1" applyAlignment="1">
      <alignment horizontal="center"/>
    </xf>
    <xf numFmtId="14" fontId="6" fillId="3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164" fontId="7" fillId="0" borderId="0" xfId="1" applyNumberFormat="1" applyFont="1" applyAlignment="1">
      <alignment horizontal="center"/>
    </xf>
    <xf numFmtId="0" fontId="4" fillId="3" borderId="0" xfId="0" applyFont="1" applyFill="1"/>
    <xf numFmtId="165" fontId="4" fillId="0" borderId="0" xfId="0" applyNumberFormat="1" applyFont="1" applyAlignment="1">
      <alignment horizontal="center"/>
    </xf>
    <xf numFmtId="164" fontId="4" fillId="4" borderId="0" xfId="1" applyNumberFormat="1" applyFont="1" applyFill="1"/>
    <xf numFmtId="164" fontId="4" fillId="3" borderId="0" xfId="1" applyNumberFormat="1" applyFont="1" applyFill="1" applyBorder="1"/>
    <xf numFmtId="164" fontId="4" fillId="2" borderId="0" xfId="1" applyNumberFormat="1" applyFont="1" applyFill="1" applyBorder="1"/>
    <xf numFmtId="164" fontId="4" fillId="0" borderId="0" xfId="1" applyNumberFormat="1" applyFont="1" applyBorder="1"/>
    <xf numFmtId="9" fontId="4" fillId="0" borderId="0" xfId="3" applyFont="1" applyBorder="1"/>
    <xf numFmtId="164" fontId="4" fillId="5" borderId="0" xfId="1" applyNumberFormat="1" applyFont="1" applyFill="1"/>
    <xf numFmtId="164" fontId="4" fillId="2" borderId="1" xfId="1" applyNumberFormat="1" applyFont="1" applyFill="1" applyBorder="1"/>
    <xf numFmtId="164" fontId="4" fillId="0" borderId="1" xfId="1" applyNumberFormat="1" applyFont="1" applyBorder="1"/>
    <xf numFmtId="0" fontId="8" fillId="0" borderId="0" xfId="0" applyFont="1" applyAlignment="1">
      <alignment horizontal="center"/>
    </xf>
    <xf numFmtId="164" fontId="8" fillId="0" borderId="0" xfId="1" applyNumberFormat="1" applyFont="1" applyAlignment="1">
      <alignment horizontal="center"/>
    </xf>
    <xf numFmtId="3" fontId="5" fillId="3" borderId="0" xfId="0" applyNumberFormat="1" applyFont="1" applyFill="1"/>
    <xf numFmtId="3" fontId="5" fillId="2" borderId="0" xfId="0" applyNumberFormat="1" applyFont="1" applyFill="1"/>
    <xf numFmtId="3" fontId="5" fillId="0" borderId="0" xfId="0" applyNumberFormat="1" applyFont="1"/>
    <xf numFmtId="37" fontId="4" fillId="3" borderId="0" xfId="0" applyNumberFormat="1" applyFont="1" applyFill="1"/>
    <xf numFmtId="37" fontId="4" fillId="2" borderId="0" xfId="0" applyNumberFormat="1" applyFont="1" applyFill="1"/>
    <xf numFmtId="37" fontId="4" fillId="0" borderId="0" xfId="0" applyNumberFormat="1" applyFont="1"/>
    <xf numFmtId="3" fontId="4" fillId="2" borderId="0" xfId="0" applyNumberFormat="1" applyFont="1" applyFill="1"/>
    <xf numFmtId="3" fontId="4" fillId="0" borderId="0" xfId="0" applyNumberFormat="1" applyFont="1"/>
    <xf numFmtId="0" fontId="4" fillId="6" borderId="0" xfId="0" applyFont="1" applyFill="1"/>
    <xf numFmtId="164" fontId="5" fillId="3" borderId="2" xfId="1" applyNumberFormat="1" applyFont="1" applyFill="1" applyBorder="1"/>
    <xf numFmtId="164" fontId="5" fillId="2" borderId="2" xfId="1" applyNumberFormat="1" applyFont="1" applyFill="1" applyBorder="1"/>
    <xf numFmtId="164" fontId="5" fillId="0" borderId="2" xfId="1" applyNumberFormat="1" applyFont="1" applyBorder="1"/>
    <xf numFmtId="164" fontId="5" fillId="0" borderId="0" xfId="1" applyNumberFormat="1" applyFont="1" applyFill="1"/>
    <xf numFmtId="164" fontId="4" fillId="3" borderId="0" xfId="1" applyNumberFormat="1" applyFont="1" applyFill="1"/>
    <xf numFmtId="164" fontId="4" fillId="2" borderId="0" xfId="1" applyNumberFormat="1" applyFont="1" applyFill="1"/>
    <xf numFmtId="164" fontId="4" fillId="0" borderId="0" xfId="1" applyNumberFormat="1" applyFont="1" applyFill="1"/>
    <xf numFmtId="164" fontId="3" fillId="0" borderId="0" xfId="1" applyNumberFormat="1" applyFont="1"/>
    <xf numFmtId="164" fontId="0" fillId="0" borderId="0" xfId="1" applyNumberFormat="1" applyFont="1"/>
    <xf numFmtId="164" fontId="0" fillId="0" borderId="1" xfId="1" applyNumberFormat="1" applyFont="1" applyBorder="1"/>
    <xf numFmtId="49" fontId="3" fillId="0" borderId="0" xfId="1" applyNumberFormat="1" applyFont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0" fillId="4" borderId="0" xfId="1" applyNumberFormat="1" applyFont="1" applyFill="1" applyBorder="1"/>
    <xf numFmtId="164" fontId="0" fillId="0" borderId="1" xfId="1" applyNumberFormat="1" applyFont="1" applyFill="1" applyBorder="1"/>
    <xf numFmtId="164" fontId="0" fillId="4" borderId="1" xfId="1" applyNumberFormat="1" applyFont="1" applyFill="1" applyBorder="1"/>
    <xf numFmtId="164" fontId="0" fillId="7" borderId="0" xfId="1" applyNumberFormat="1" applyFont="1" applyFill="1" applyBorder="1"/>
    <xf numFmtId="9" fontId="0" fillId="4" borderId="0" xfId="3" applyFont="1" applyFill="1"/>
    <xf numFmtId="49" fontId="3" fillId="0" borderId="0" xfId="1" applyNumberFormat="1" applyFont="1" applyAlignment="1">
      <alignment vertical="center"/>
    </xf>
    <xf numFmtId="44" fontId="0" fillId="4" borderId="0" xfId="2" applyFont="1" applyFill="1"/>
    <xf numFmtId="44" fontId="0" fillId="5" borderId="0" xfId="2" applyFont="1" applyFill="1"/>
    <xf numFmtId="14" fontId="5" fillId="6" borderId="0" xfId="0" applyNumberFormat="1" applyFont="1" applyFill="1" applyAlignment="1">
      <alignment horizontal="center"/>
    </xf>
    <xf numFmtId="0" fontId="13" fillId="0" borderId="0" xfId="0" applyFont="1"/>
    <xf numFmtId="0" fontId="5" fillId="6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6" fillId="6" borderId="0" xfId="0" applyFont="1" applyFill="1" applyAlignment="1">
      <alignment horizontal="center" wrapText="1"/>
    </xf>
    <xf numFmtId="0" fontId="6" fillId="8" borderId="0" xfId="0" applyFont="1" applyFill="1" applyAlignment="1">
      <alignment horizontal="center" wrapText="1"/>
    </xf>
    <xf numFmtId="0" fontId="4" fillId="8" borderId="0" xfId="0" applyFont="1" applyFill="1"/>
    <xf numFmtId="164" fontId="4" fillId="0" borderId="0" xfId="1" applyNumberFormat="1" applyFont="1" applyFill="1" applyBorder="1"/>
    <xf numFmtId="164" fontId="4" fillId="6" borderId="0" xfId="1" applyNumberFormat="1" applyFont="1" applyFill="1" applyBorder="1"/>
    <xf numFmtId="164" fontId="4" fillId="8" borderId="0" xfId="1" applyNumberFormat="1" applyFont="1" applyFill="1" applyBorder="1"/>
    <xf numFmtId="164" fontId="4" fillId="0" borderId="1" xfId="1" applyNumberFormat="1" applyFont="1" applyFill="1" applyBorder="1"/>
    <xf numFmtId="164" fontId="4" fillId="6" borderId="1" xfId="1" applyNumberFormat="1" applyFont="1" applyFill="1" applyBorder="1"/>
    <xf numFmtId="164" fontId="4" fillId="8" borderId="1" xfId="1" applyNumberFormat="1" applyFont="1" applyFill="1" applyBorder="1"/>
    <xf numFmtId="3" fontId="5" fillId="6" borderId="0" xfId="0" applyNumberFormat="1" applyFont="1" applyFill="1"/>
    <xf numFmtId="3" fontId="5" fillId="8" borderId="0" xfId="0" applyNumberFormat="1" applyFont="1" applyFill="1"/>
    <xf numFmtId="9" fontId="4" fillId="0" borderId="0" xfId="0" applyNumberFormat="1" applyFont="1"/>
    <xf numFmtId="37" fontId="4" fillId="6" borderId="0" xfId="1" applyNumberFormat="1" applyFont="1" applyFill="1"/>
    <xf numFmtId="37" fontId="4" fillId="0" borderId="0" xfId="1" applyNumberFormat="1" applyFont="1" applyFill="1"/>
    <xf numFmtId="37" fontId="4" fillId="8" borderId="0" xfId="1" applyNumberFormat="1" applyFont="1" applyFill="1"/>
    <xf numFmtId="164" fontId="4" fillId="0" borderId="0" xfId="0" applyNumberFormat="1" applyFont="1"/>
    <xf numFmtId="164" fontId="5" fillId="0" borderId="2" xfId="1" applyNumberFormat="1" applyFont="1" applyFill="1" applyBorder="1"/>
    <xf numFmtId="164" fontId="5" fillId="6" borderId="0" xfId="1" applyNumberFormat="1" applyFont="1" applyFill="1"/>
    <xf numFmtId="164" fontId="5" fillId="8" borderId="0" xfId="1" applyNumberFormat="1" applyFont="1" applyFill="1"/>
    <xf numFmtId="164" fontId="4" fillId="6" borderId="0" xfId="1" applyNumberFormat="1" applyFont="1" applyFill="1"/>
    <xf numFmtId="164" fontId="4" fillId="8" borderId="0" xfId="1" applyNumberFormat="1" applyFont="1" applyFill="1"/>
    <xf numFmtId="0" fontId="4" fillId="0" borderId="1" xfId="0" applyFont="1" applyBorder="1"/>
    <xf numFmtId="164" fontId="5" fillId="0" borderId="0" xfId="1" applyNumberFormat="1" applyFont="1"/>
    <xf numFmtId="164" fontId="5" fillId="0" borderId="0" xfId="1" applyNumberFormat="1" applyFont="1" applyFill="1" applyBorder="1"/>
    <xf numFmtId="164" fontId="8" fillId="0" borderId="0" xfId="1" applyNumberFormat="1" applyFont="1" applyFill="1"/>
    <xf numFmtId="164" fontId="8" fillId="0" borderId="0" xfId="1" applyNumberFormat="1" applyFont="1"/>
    <xf numFmtId="164" fontId="5" fillId="0" borderId="0" xfId="1" applyNumberFormat="1" applyFont="1" applyBorder="1"/>
    <xf numFmtId="164" fontId="5" fillId="2" borderId="0" xfId="1" applyNumberFormat="1" applyFont="1" applyFill="1" applyBorder="1"/>
    <xf numFmtId="164" fontId="0" fillId="7" borderId="1" xfId="1" applyNumberFormat="1" applyFont="1" applyFill="1" applyBorder="1"/>
    <xf numFmtId="0" fontId="1" fillId="0" borderId="0" xfId="4"/>
    <xf numFmtId="14" fontId="5" fillId="9" borderId="0" xfId="0" applyNumberFormat="1" applyFont="1" applyFill="1" applyAlignment="1">
      <alignment horizontal="center"/>
    </xf>
    <xf numFmtId="0" fontId="5" fillId="9" borderId="0" xfId="0" applyFont="1" applyFill="1" applyAlignment="1">
      <alignment horizontal="center"/>
    </xf>
    <xf numFmtId="0" fontId="6" fillId="9" borderId="0" xfId="0" applyFont="1" applyFill="1" applyAlignment="1">
      <alignment horizontal="center" wrapText="1"/>
    </xf>
    <xf numFmtId="164" fontId="4" fillId="9" borderId="0" xfId="1" applyNumberFormat="1" applyFont="1" applyFill="1" applyBorder="1"/>
    <xf numFmtId="3" fontId="5" fillId="9" borderId="0" xfId="0" applyNumberFormat="1" applyFont="1" applyFill="1"/>
    <xf numFmtId="37" fontId="4" fillId="9" borderId="0" xfId="0" applyNumberFormat="1" applyFont="1" applyFill="1"/>
    <xf numFmtId="3" fontId="4" fillId="9" borderId="0" xfId="0" applyNumberFormat="1" applyFont="1" applyFill="1"/>
    <xf numFmtId="164" fontId="5" fillId="9" borderId="2" xfId="1" applyNumberFormat="1" applyFont="1" applyFill="1" applyBorder="1"/>
    <xf numFmtId="164" fontId="4" fillId="9" borderId="0" xfId="1" applyNumberFormat="1" applyFont="1" applyFill="1"/>
    <xf numFmtId="164" fontId="4" fillId="3" borderId="1" xfId="1" applyNumberFormat="1" applyFont="1" applyFill="1" applyBorder="1"/>
    <xf numFmtId="164" fontId="4" fillId="9" borderId="1" xfId="1" applyNumberFormat="1" applyFont="1" applyFill="1" applyBorder="1"/>
    <xf numFmtId="164" fontId="14" fillId="0" borderId="0" xfId="1" applyNumberFormat="1" applyFont="1" applyAlignment="1">
      <alignment horizontal="center"/>
    </xf>
    <xf numFmtId="164" fontId="1" fillId="0" borderId="0" xfId="1" applyNumberFormat="1" applyFont="1"/>
    <xf numFmtId="164" fontId="5" fillId="3" borderId="0" xfId="1" applyNumberFormat="1" applyFont="1" applyFill="1"/>
    <xf numFmtId="164" fontId="0" fillId="0" borderId="0" xfId="0" applyNumberFormat="1"/>
    <xf numFmtId="0" fontId="7" fillId="0" borderId="0" xfId="0" applyFont="1" applyAlignment="1">
      <alignment horizontal="center"/>
    </xf>
  </cellXfs>
  <cellStyles count="5">
    <cellStyle name="Comma" xfId="1" builtinId="3"/>
    <cellStyle name="Currency" xfId="2" builtinId="4"/>
    <cellStyle name="Normal" xfId="0" builtinId="0"/>
    <cellStyle name="Normal 2" xfId="4" xr:uid="{F447708D-CA75-DC49-A9F7-D9E50F49EBB5}"/>
    <cellStyle name="Percent" xfId="3" builtinId="5"/>
  </cellStyles>
  <dxfs count="7">
    <dxf>
      <font>
        <color theme="0"/>
      </font>
    </dxf>
    <dxf>
      <font>
        <color theme="5" tint="-0.24994659260841701"/>
      </font>
    </dxf>
    <dxf>
      <font>
        <color theme="1"/>
      </font>
    </dxf>
    <dxf>
      <font>
        <color theme="0"/>
      </font>
    </dxf>
    <dxf>
      <font>
        <u val="none"/>
        <color theme="1"/>
      </font>
    </dxf>
    <dxf>
      <font>
        <color theme="5" tint="-0.24994659260841701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cola Maurer" id="{928C4A88-1BFE-429A-B9C7-316B108F4328}" userId="S::maurern@platteville.org::68de3b3b-9fbd-4dd7-a29c-d7e93ed7440f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8" dT="2020-09-02T14:22:30.05" personId="{928C4A88-1BFE-429A-B9C7-316B108F4328}" id="{6C270194-1E31-4EC0-9107-2518896B4B19}">
    <text>5% 165,000 master plan + 10% of $750,000 for Hangar</text>
  </threadedComment>
  <threadedComment ref="P18" dT="2020-09-16T20:24:49.96" personId="{928C4A88-1BFE-429A-B9C7-316B108F4328}" id="{98512897-9257-4EF1-9780-83A9856348A2}" parentId="{6C270194-1E31-4EC0-9107-2518896B4B19}">
    <text>Master Plan - Part 2 was already budgetd in 2020 both City and Airport CIP budgets, so this amount will adjust down to include only the Hangar project</text>
  </threadedComment>
  <threadedComment ref="P18" dT="2020-10-12T20:59:29.50" personId="{928C4A88-1BFE-429A-B9C7-316B108F4328}" id="{011902C5-11BF-435F-BC67-7FA180B89DC6}" parentId="{6C270194-1E31-4EC0-9107-2518896B4B19}">
    <text>Adjusted: $75,000 for T-Hangar, $6,000 for Phase 2 Master Plan and City contribution of $4,750 c/o from 2020 CIP budget.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E18" dT="2020-09-02T14:22:30.05" personId="{928C4A88-1BFE-429A-B9C7-316B108F4328}" id="{AB04B032-AC2A-46DC-BCAD-D17D037F0DD9}">
    <text>5% 165,000 master plan + 10% of $750,000 for Hangar</text>
  </threadedComment>
  <threadedComment ref="E18" dT="2020-09-16T20:24:49.96" personId="{928C4A88-1BFE-429A-B9C7-316B108F4328}" id="{EEF02702-EA34-45FA-A9F6-743C150F6428}" parentId="{AB04B032-AC2A-46DC-BCAD-D17D037F0DD9}">
    <text>Master Plan - Part 2 was already budgetd in 2020 both City and Airport CIP budgets, so this amount will adjust down to include only the Hangar project</text>
  </threadedComment>
  <threadedComment ref="E18" dT="2020-10-12T20:59:29.50" personId="{928C4A88-1BFE-429A-B9C7-316B108F4328}" id="{1B291C0F-E783-48FE-9016-19CD9F87CF38}" parentId="{AB04B032-AC2A-46DC-BCAD-D17D037F0DD9}">
    <text>Adjusted: $75,000 for T-Hangar, $6,000 for Phase 2 Master Plan and City contribution of $4,750 c/o from 2020 CIP budget.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3462D5-156A-41EB-946F-02C812B230D3}">
  <sheetPr codeName="Sheet1"/>
  <dimension ref="A1:T63"/>
  <sheetViews>
    <sheetView tabSelected="1" zoomScale="104" zoomScaleNormal="104" workbookViewId="0">
      <pane xSplit="2" topLeftCell="C1" activePane="topRight" state="frozen"/>
      <selection pane="topRight" activeCell="C1" sqref="C1"/>
    </sheetView>
  </sheetViews>
  <sheetFormatPr defaultColWidth="8.85546875" defaultRowHeight="15" x14ac:dyDescent="0.25"/>
  <cols>
    <col min="1" max="1" width="18.7109375" bestFit="1" customWidth="1"/>
    <col min="2" max="2" width="33.85546875" bestFit="1" customWidth="1"/>
    <col min="3" max="6" width="9" bestFit="1" customWidth="1"/>
    <col min="7" max="14" width="9.85546875" bestFit="1" customWidth="1"/>
    <col min="15" max="16" width="10.85546875" bestFit="1" customWidth="1"/>
    <col min="17" max="17" width="9.7109375" hidden="1" customWidth="1"/>
    <col min="18" max="18" width="9.7109375" customWidth="1"/>
    <col min="19" max="19" width="10.7109375" hidden="1" customWidth="1"/>
  </cols>
  <sheetData>
    <row r="1" spans="1:20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>
        <v>46387</v>
      </c>
      <c r="P1" s="4">
        <v>46022</v>
      </c>
      <c r="Q1" s="3">
        <v>45930</v>
      </c>
      <c r="R1" s="91"/>
      <c r="S1" s="3">
        <v>45291</v>
      </c>
      <c r="T1" s="1"/>
    </row>
    <row r="2" spans="1:20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5">
        <v>2026</v>
      </c>
      <c r="P2" s="6">
        <v>2025</v>
      </c>
      <c r="Q2" s="7">
        <v>2025</v>
      </c>
      <c r="R2" s="92">
        <v>2025</v>
      </c>
      <c r="S2" s="7">
        <v>2024</v>
      </c>
      <c r="T2" s="7" t="s">
        <v>86</v>
      </c>
    </row>
    <row r="3" spans="1:20" ht="45" x14ac:dyDescent="0.25">
      <c r="A3" s="8" t="s">
        <v>1</v>
      </c>
      <c r="B3" s="8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9" t="s">
        <v>12</v>
      </c>
      <c r="M3" s="9" t="s">
        <v>13</v>
      </c>
      <c r="N3" s="9" t="s">
        <v>14</v>
      </c>
      <c r="O3" s="10" t="s">
        <v>315</v>
      </c>
      <c r="P3" s="11" t="s">
        <v>16</v>
      </c>
      <c r="Q3" s="12" t="s">
        <v>17</v>
      </c>
      <c r="R3" s="93" t="s">
        <v>307</v>
      </c>
      <c r="S3" s="8" t="s">
        <v>18</v>
      </c>
      <c r="T3" s="12" t="s">
        <v>19</v>
      </c>
    </row>
    <row r="4" spans="1:20" ht="15.75" x14ac:dyDescent="0.25">
      <c r="A4" s="13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6"/>
      <c r="Q4" s="7"/>
      <c r="R4" s="92"/>
      <c r="S4" s="7"/>
      <c r="T4" s="1"/>
    </row>
    <row r="5" spans="1:20" x14ac:dyDescent="0.25">
      <c r="A5" s="16">
        <v>20053510120000</v>
      </c>
      <c r="B5" s="1" t="s">
        <v>20</v>
      </c>
      <c r="C5" s="17"/>
      <c r="D5" s="2">
        <f>C5</f>
        <v>0</v>
      </c>
      <c r="E5" s="2">
        <f t="shared" ref="E5:N5" si="0">D5</f>
        <v>0</v>
      </c>
      <c r="F5" s="2">
        <f t="shared" si="0"/>
        <v>0</v>
      </c>
      <c r="G5" s="2">
        <f t="shared" si="0"/>
        <v>0</v>
      </c>
      <c r="H5" s="2">
        <f t="shared" si="0"/>
        <v>0</v>
      </c>
      <c r="I5" s="2">
        <f t="shared" si="0"/>
        <v>0</v>
      </c>
      <c r="J5" s="2">
        <f t="shared" si="0"/>
        <v>0</v>
      </c>
      <c r="K5" s="2">
        <f t="shared" si="0"/>
        <v>0</v>
      </c>
      <c r="L5" s="2">
        <f t="shared" si="0"/>
        <v>0</v>
      </c>
      <c r="M5" s="2">
        <f t="shared" si="0"/>
        <v>0</v>
      </c>
      <c r="N5" s="2">
        <f t="shared" si="0"/>
        <v>0</v>
      </c>
      <c r="O5" s="18">
        <f>SUM(C5:N5)</f>
        <v>0</v>
      </c>
      <c r="P5" s="19">
        <v>0</v>
      </c>
      <c r="Q5" s="20">
        <v>0</v>
      </c>
      <c r="R5" s="94">
        <f>(Q5/9)*12</f>
        <v>0</v>
      </c>
      <c r="S5" s="20">
        <v>165</v>
      </c>
      <c r="T5" s="21" t="e">
        <f t="shared" ref="T5:T35" si="1">+(O5-P5)/P5</f>
        <v>#DIV/0!</v>
      </c>
    </row>
    <row r="6" spans="1:20" x14ac:dyDescent="0.25">
      <c r="A6" s="16">
        <v>20053510132000</v>
      </c>
      <c r="B6" s="1" t="s">
        <v>21</v>
      </c>
      <c r="C6" s="17"/>
      <c r="D6" s="2">
        <f t="shared" ref="D6:N8" si="2">C6</f>
        <v>0</v>
      </c>
      <c r="E6" s="2">
        <f t="shared" si="2"/>
        <v>0</v>
      </c>
      <c r="F6" s="2">
        <f t="shared" si="2"/>
        <v>0</v>
      </c>
      <c r="G6" s="2">
        <f t="shared" si="2"/>
        <v>0</v>
      </c>
      <c r="H6" s="2">
        <f t="shared" si="2"/>
        <v>0</v>
      </c>
      <c r="I6" s="2">
        <f t="shared" si="2"/>
        <v>0</v>
      </c>
      <c r="J6" s="2">
        <f t="shared" si="2"/>
        <v>0</v>
      </c>
      <c r="K6" s="2">
        <f t="shared" si="2"/>
        <v>0</v>
      </c>
      <c r="L6" s="2">
        <f t="shared" si="2"/>
        <v>0</v>
      </c>
      <c r="M6" s="2">
        <f t="shared" si="2"/>
        <v>0</v>
      </c>
      <c r="N6" s="2">
        <f t="shared" si="2"/>
        <v>0</v>
      </c>
      <c r="O6" s="18">
        <f t="shared" ref="O6:O35" si="3">SUM(C6:N6)</f>
        <v>0</v>
      </c>
      <c r="P6" s="19">
        <v>0</v>
      </c>
      <c r="Q6" s="20">
        <v>0</v>
      </c>
      <c r="R6" s="94">
        <f t="shared" ref="R6:R35" si="4">(Q6/9)*12</f>
        <v>0</v>
      </c>
      <c r="S6" s="20">
        <v>10.23</v>
      </c>
      <c r="T6" s="21" t="e">
        <f t="shared" si="1"/>
        <v>#DIV/0!</v>
      </c>
    </row>
    <row r="7" spans="1:20" x14ac:dyDescent="0.25">
      <c r="A7" s="16">
        <v>20053510133000</v>
      </c>
      <c r="B7" s="1" t="s">
        <v>22</v>
      </c>
      <c r="C7" s="17"/>
      <c r="D7" s="2">
        <f t="shared" si="2"/>
        <v>0</v>
      </c>
      <c r="E7" s="2">
        <f t="shared" si="2"/>
        <v>0</v>
      </c>
      <c r="F7" s="2">
        <f t="shared" si="2"/>
        <v>0</v>
      </c>
      <c r="G7" s="2">
        <f t="shared" si="2"/>
        <v>0</v>
      </c>
      <c r="H7" s="2">
        <f t="shared" si="2"/>
        <v>0</v>
      </c>
      <c r="I7" s="2">
        <f t="shared" si="2"/>
        <v>0</v>
      </c>
      <c r="J7" s="2">
        <f t="shared" si="2"/>
        <v>0</v>
      </c>
      <c r="K7" s="2">
        <f t="shared" si="2"/>
        <v>0</v>
      </c>
      <c r="L7" s="2">
        <f t="shared" si="2"/>
        <v>0</v>
      </c>
      <c r="M7" s="2">
        <f t="shared" si="2"/>
        <v>0</v>
      </c>
      <c r="N7" s="2">
        <f t="shared" si="2"/>
        <v>0</v>
      </c>
      <c r="O7" s="18">
        <f t="shared" si="3"/>
        <v>0</v>
      </c>
      <c r="P7" s="19">
        <v>0</v>
      </c>
      <c r="Q7" s="20">
        <v>0</v>
      </c>
      <c r="R7" s="94">
        <f t="shared" si="4"/>
        <v>0</v>
      </c>
      <c r="S7" s="20">
        <v>2.39</v>
      </c>
      <c r="T7" s="21" t="e">
        <f t="shared" si="1"/>
        <v>#DIV/0!</v>
      </c>
    </row>
    <row r="8" spans="1:20" x14ac:dyDescent="0.25">
      <c r="A8" s="16">
        <v>20053510804000</v>
      </c>
      <c r="B8" s="1" t="s">
        <v>23</v>
      </c>
      <c r="C8" s="17">
        <v>417</v>
      </c>
      <c r="D8" s="2">
        <f t="shared" si="2"/>
        <v>417</v>
      </c>
      <c r="E8" s="2">
        <f t="shared" si="2"/>
        <v>417</v>
      </c>
      <c r="F8" s="2">
        <f t="shared" si="2"/>
        <v>417</v>
      </c>
      <c r="G8" s="2">
        <f t="shared" si="2"/>
        <v>417</v>
      </c>
      <c r="H8" s="2">
        <f t="shared" si="2"/>
        <v>417</v>
      </c>
      <c r="I8" s="2">
        <f t="shared" si="2"/>
        <v>417</v>
      </c>
      <c r="J8" s="2">
        <f t="shared" si="2"/>
        <v>417</v>
      </c>
      <c r="K8" s="2">
        <f t="shared" si="2"/>
        <v>417</v>
      </c>
      <c r="L8" s="2">
        <f t="shared" si="2"/>
        <v>417</v>
      </c>
      <c r="M8" s="2">
        <f t="shared" si="2"/>
        <v>417</v>
      </c>
      <c r="N8" s="2">
        <f t="shared" si="2"/>
        <v>417</v>
      </c>
      <c r="O8" s="18">
        <f>SUM(C8:N8)</f>
        <v>5004</v>
      </c>
      <c r="P8" s="19">
        <v>5004</v>
      </c>
      <c r="Q8" s="20">
        <v>0</v>
      </c>
      <c r="R8" s="94">
        <f t="shared" si="4"/>
        <v>0</v>
      </c>
      <c r="S8" s="20">
        <v>158.4</v>
      </c>
      <c r="T8" s="21">
        <f>+(O8-P8)/P8</f>
        <v>0</v>
      </c>
    </row>
    <row r="9" spans="1:20" x14ac:dyDescent="0.25">
      <c r="A9" s="16">
        <v>20053510805000</v>
      </c>
      <c r="B9" s="1" t="s">
        <v>24</v>
      </c>
      <c r="C9" s="22">
        <f>'Fuel Worksheet 2026'!B18*'Fuel Worksheet 2026'!B22</f>
        <v>2052.08</v>
      </c>
      <c r="D9" s="22">
        <f>'Fuel Worksheet 2026'!C18*'Fuel Worksheet 2026'!C22</f>
        <v>768.4</v>
      </c>
      <c r="E9" s="22">
        <f>'Fuel Worksheet 2026'!D18*'Fuel Worksheet 2026'!D22</f>
        <v>2522.16</v>
      </c>
      <c r="F9" s="22">
        <f>'Fuel Worksheet 2026'!E18*'Fuel Worksheet 2026'!E22</f>
        <v>4637.5199999999995</v>
      </c>
      <c r="G9" s="22">
        <f>'Fuel Worksheet 2026'!F18*'Fuel Worksheet 2026'!F22</f>
        <v>5916.6799999999994</v>
      </c>
      <c r="H9" s="22">
        <f>'Fuel Worksheet 2026'!G18*'Fuel Worksheet 2026'!G22</f>
        <v>4718.8799999999992</v>
      </c>
      <c r="I9" s="22">
        <f>'Fuel Worksheet 2026'!H18*'Fuel Worksheet 2026'!H22</f>
        <v>13085.4</v>
      </c>
      <c r="J9" s="22">
        <f>'Fuel Worksheet 2026'!I18*'Fuel Worksheet 2026'!I22</f>
        <v>4705.32</v>
      </c>
      <c r="K9" s="22">
        <f>'Fuel Worksheet 2026'!J18*'Fuel Worksheet 2026'!J22</f>
        <v>6779.9999999999991</v>
      </c>
      <c r="L9" s="22">
        <f>'Fuel Worksheet 2026'!K18*'Fuel Worksheet 2026'!K22</f>
        <v>7661.3999999999978</v>
      </c>
      <c r="M9" s="22">
        <f>'Fuel Worksheet 2026'!L18*'Fuel Worksheet 2026'!L22</f>
        <v>5107.5999999999995</v>
      </c>
      <c r="N9" s="22">
        <f>'Fuel Worksheet 2026'!M18*'Fuel Worksheet 2026'!M22</f>
        <v>2553.7999999999997</v>
      </c>
      <c r="O9" s="18">
        <f>SUM(C9:N9)</f>
        <v>60509.24</v>
      </c>
      <c r="P9" s="19">
        <v>84436</v>
      </c>
      <c r="Q9" s="20">
        <v>39533</v>
      </c>
      <c r="R9" s="94">
        <f t="shared" si="4"/>
        <v>52710.666666666672</v>
      </c>
      <c r="S9" s="20">
        <v>75310.94</v>
      </c>
      <c r="T9" s="21">
        <f>+(O9-P9)/P9</f>
        <v>-0.28337154768108391</v>
      </c>
    </row>
    <row r="10" spans="1:20" x14ac:dyDescent="0.25">
      <c r="A10" s="16">
        <v>20053510806000</v>
      </c>
      <c r="B10" s="1" t="s">
        <v>25</v>
      </c>
      <c r="C10" s="22">
        <f>'Fuel Worksheet 2026'!B19*'Fuel Worksheet 2026'!B23</f>
        <v>383.61600000000004</v>
      </c>
      <c r="D10" s="22">
        <f>'Fuel Worksheet 2026'!C19*'Fuel Worksheet 2026'!C23</f>
        <v>108.69119999999999</v>
      </c>
      <c r="E10" s="22">
        <f>'Fuel Worksheet 2026'!D19*'Fuel Worksheet 2026'!D23</f>
        <v>0</v>
      </c>
      <c r="F10" s="22">
        <f>'Fuel Worksheet 2026'!E19*'Fuel Worksheet 2026'!E23</f>
        <v>2106.6912000000002</v>
      </c>
      <c r="G10" s="22">
        <f>'Fuel Worksheet 2026'!F19*'Fuel Worksheet 2026'!F23</f>
        <v>3481.3152000000005</v>
      </c>
      <c r="H10" s="22">
        <f>'Fuel Worksheet 2026'!G19*'Fuel Worksheet 2026'!G23</f>
        <v>3452.5440000000003</v>
      </c>
      <c r="I10" s="22">
        <f>'Fuel Worksheet 2026'!H19*'Fuel Worksheet 2026'!H23</f>
        <v>1288.3104000000001</v>
      </c>
      <c r="J10" s="22">
        <f>'Fuel Worksheet 2026'!I19*'Fuel Worksheet 2026'!I23</f>
        <v>799.2</v>
      </c>
      <c r="K10" s="22">
        <f>'Fuel Worksheet 2026'!J19*'Fuel Worksheet 2026'!J23</f>
        <v>0</v>
      </c>
      <c r="L10" s="22">
        <f>'Fuel Worksheet 2026'!K19*'Fuel Worksheet 2026'!K23</f>
        <v>3452.5440000000003</v>
      </c>
      <c r="M10" s="22">
        <f>'Fuel Worksheet 2026'!L19*'Fuel Worksheet 2026'!L23</f>
        <v>3107.2896000000005</v>
      </c>
      <c r="N10" s="22">
        <f>'Fuel Worksheet 2026'!M19*'Fuel Worksheet 2026'!M23</f>
        <v>2589.4080000000004</v>
      </c>
      <c r="O10" s="18">
        <f t="shared" si="3"/>
        <v>20769.609600000003</v>
      </c>
      <c r="P10" s="19">
        <v>57329</v>
      </c>
      <c r="Q10" s="20">
        <v>10143</v>
      </c>
      <c r="R10" s="94">
        <f t="shared" si="4"/>
        <v>13524</v>
      </c>
      <c r="S10" s="20">
        <v>64927.38</v>
      </c>
      <c r="T10" s="21">
        <f>+(O10-P10)/P10</f>
        <v>-0.63771198520818428</v>
      </c>
    </row>
    <row r="11" spans="1:20" x14ac:dyDescent="0.25">
      <c r="A11" s="16">
        <v>20053510807000</v>
      </c>
      <c r="B11" s="1" t="s">
        <v>26</v>
      </c>
      <c r="C11" s="17">
        <v>10</v>
      </c>
      <c r="D11" s="2">
        <f>C11</f>
        <v>10</v>
      </c>
      <c r="E11" s="2">
        <f t="shared" ref="E11:N11" si="5">D11</f>
        <v>10</v>
      </c>
      <c r="F11" s="2">
        <f t="shared" si="5"/>
        <v>10</v>
      </c>
      <c r="G11" s="2">
        <f t="shared" si="5"/>
        <v>10</v>
      </c>
      <c r="H11" s="2">
        <v>2500</v>
      </c>
      <c r="I11" s="2">
        <v>10</v>
      </c>
      <c r="J11" s="2">
        <f t="shared" si="5"/>
        <v>10</v>
      </c>
      <c r="K11" s="2">
        <f t="shared" si="5"/>
        <v>10</v>
      </c>
      <c r="L11" s="2">
        <f t="shared" si="5"/>
        <v>10</v>
      </c>
      <c r="M11" s="2">
        <f t="shared" si="5"/>
        <v>10</v>
      </c>
      <c r="N11" s="2">
        <f t="shared" si="5"/>
        <v>10</v>
      </c>
      <c r="O11" s="18">
        <f t="shared" si="3"/>
        <v>2610</v>
      </c>
      <c r="P11" s="19">
        <v>4910</v>
      </c>
      <c r="Q11" s="20">
        <v>963</v>
      </c>
      <c r="R11" s="94">
        <f t="shared" si="4"/>
        <v>1284</v>
      </c>
      <c r="S11" s="20">
        <v>9914.9699999999993</v>
      </c>
      <c r="T11" s="21">
        <f>+(O11-P11)/P11</f>
        <v>-0.46843177189409368</v>
      </c>
    </row>
    <row r="12" spans="1:20" x14ac:dyDescent="0.25">
      <c r="A12" s="16">
        <v>20053510809000</v>
      </c>
      <c r="B12" s="1" t="s">
        <v>27</v>
      </c>
      <c r="C12" s="17">
        <v>72.099999999999994</v>
      </c>
      <c r="D12" s="2">
        <f t="shared" ref="D12:N16" si="6">C12</f>
        <v>72.099999999999994</v>
      </c>
      <c r="E12" s="2">
        <f t="shared" si="6"/>
        <v>72.099999999999994</v>
      </c>
      <c r="F12" s="2">
        <f t="shared" si="6"/>
        <v>72.099999999999994</v>
      </c>
      <c r="G12" s="2">
        <f t="shared" si="6"/>
        <v>72.099999999999994</v>
      </c>
      <c r="H12" s="2">
        <f t="shared" si="6"/>
        <v>72.099999999999994</v>
      </c>
      <c r="I12" s="2">
        <f t="shared" si="6"/>
        <v>72.099999999999994</v>
      </c>
      <c r="J12" s="2">
        <f t="shared" si="6"/>
        <v>72.099999999999994</v>
      </c>
      <c r="K12" s="2">
        <f t="shared" si="6"/>
        <v>72.099999999999994</v>
      </c>
      <c r="L12" s="2">
        <f t="shared" si="6"/>
        <v>72.099999999999994</v>
      </c>
      <c r="M12" s="2">
        <f t="shared" si="6"/>
        <v>72.099999999999994</v>
      </c>
      <c r="N12" s="2">
        <f t="shared" si="6"/>
        <v>72.099999999999994</v>
      </c>
      <c r="O12" s="18">
        <f t="shared" si="3"/>
        <v>865.20000000000016</v>
      </c>
      <c r="P12" s="19">
        <v>852</v>
      </c>
      <c r="Q12" s="20">
        <v>505</v>
      </c>
      <c r="R12" s="94">
        <f t="shared" si="4"/>
        <v>673.33333333333337</v>
      </c>
      <c r="S12" s="20">
        <v>781</v>
      </c>
      <c r="T12" s="21">
        <f t="shared" si="1"/>
        <v>1.5492957746479061E-2</v>
      </c>
    </row>
    <row r="13" spans="1:20" x14ac:dyDescent="0.25">
      <c r="A13" s="16">
        <v>20053510810000</v>
      </c>
      <c r="B13" s="1" t="s">
        <v>28</v>
      </c>
      <c r="C13" s="17">
        <v>1000</v>
      </c>
      <c r="D13" s="2">
        <f t="shared" si="6"/>
        <v>1000</v>
      </c>
      <c r="E13" s="2">
        <f t="shared" si="6"/>
        <v>1000</v>
      </c>
      <c r="F13" s="2">
        <f t="shared" si="6"/>
        <v>1000</v>
      </c>
      <c r="G13" s="2">
        <f t="shared" si="6"/>
        <v>1000</v>
      </c>
      <c r="H13" s="2">
        <f t="shared" si="6"/>
        <v>1000</v>
      </c>
      <c r="I13" s="2">
        <f t="shared" si="6"/>
        <v>1000</v>
      </c>
      <c r="J13" s="2">
        <f t="shared" si="6"/>
        <v>1000</v>
      </c>
      <c r="K13" s="2">
        <f t="shared" si="6"/>
        <v>1000</v>
      </c>
      <c r="L13" s="2">
        <f t="shared" si="6"/>
        <v>1000</v>
      </c>
      <c r="M13" s="2">
        <f t="shared" si="6"/>
        <v>1000</v>
      </c>
      <c r="N13" s="2">
        <f t="shared" si="6"/>
        <v>1000</v>
      </c>
      <c r="O13" s="18">
        <f t="shared" si="3"/>
        <v>12000</v>
      </c>
      <c r="P13" s="19">
        <v>36000</v>
      </c>
      <c r="Q13" s="20">
        <v>3158</v>
      </c>
      <c r="R13" s="94">
        <f t="shared" si="4"/>
        <v>4210.666666666667</v>
      </c>
      <c r="S13" s="20">
        <v>30912.57</v>
      </c>
      <c r="T13" s="21">
        <f t="shared" si="1"/>
        <v>-0.66666666666666663</v>
      </c>
    </row>
    <row r="14" spans="1:20" x14ac:dyDescent="0.25">
      <c r="A14" s="16">
        <v>20053510811000</v>
      </c>
      <c r="B14" s="1" t="s">
        <v>29</v>
      </c>
      <c r="C14" s="17">
        <v>20</v>
      </c>
      <c r="D14" s="2">
        <f t="shared" si="6"/>
        <v>20</v>
      </c>
      <c r="E14" s="2">
        <f t="shared" si="6"/>
        <v>20</v>
      </c>
      <c r="F14" s="2">
        <f t="shared" si="6"/>
        <v>20</v>
      </c>
      <c r="G14" s="2">
        <f t="shared" si="6"/>
        <v>20</v>
      </c>
      <c r="H14" s="2">
        <f t="shared" si="6"/>
        <v>20</v>
      </c>
      <c r="I14" s="2">
        <f t="shared" si="6"/>
        <v>20</v>
      </c>
      <c r="J14" s="2">
        <f t="shared" si="6"/>
        <v>20</v>
      </c>
      <c r="K14" s="2">
        <f t="shared" si="6"/>
        <v>20</v>
      </c>
      <c r="L14" s="2">
        <f t="shared" si="6"/>
        <v>20</v>
      </c>
      <c r="M14" s="2">
        <f t="shared" si="6"/>
        <v>20</v>
      </c>
      <c r="N14" s="2">
        <f t="shared" si="6"/>
        <v>20</v>
      </c>
      <c r="O14" s="18">
        <f t="shared" si="3"/>
        <v>240</v>
      </c>
      <c r="P14" s="19">
        <v>240</v>
      </c>
      <c r="Q14" s="20">
        <v>28</v>
      </c>
      <c r="R14" s="94">
        <f t="shared" si="4"/>
        <v>37.333333333333336</v>
      </c>
      <c r="S14" s="20">
        <v>0</v>
      </c>
      <c r="T14" s="21">
        <f t="shared" si="1"/>
        <v>0</v>
      </c>
    </row>
    <row r="15" spans="1:20" hidden="1" x14ac:dyDescent="0.25">
      <c r="A15" s="16">
        <v>20053510813000</v>
      </c>
      <c r="B15" s="1" t="s">
        <v>30</v>
      </c>
      <c r="C15" s="17"/>
      <c r="D15" s="2">
        <f t="shared" si="6"/>
        <v>0</v>
      </c>
      <c r="E15" s="2">
        <f t="shared" si="6"/>
        <v>0</v>
      </c>
      <c r="F15" s="2">
        <f t="shared" si="6"/>
        <v>0</v>
      </c>
      <c r="G15" s="2">
        <f t="shared" si="6"/>
        <v>0</v>
      </c>
      <c r="H15" s="2">
        <f t="shared" si="6"/>
        <v>0</v>
      </c>
      <c r="I15" s="2">
        <f t="shared" si="6"/>
        <v>0</v>
      </c>
      <c r="J15" s="2">
        <f t="shared" si="6"/>
        <v>0</v>
      </c>
      <c r="K15" s="2">
        <f t="shared" si="6"/>
        <v>0</v>
      </c>
      <c r="L15" s="2">
        <f t="shared" si="6"/>
        <v>0</v>
      </c>
      <c r="M15" s="2">
        <f t="shared" si="6"/>
        <v>0</v>
      </c>
      <c r="N15" s="2">
        <f t="shared" si="6"/>
        <v>0</v>
      </c>
      <c r="O15" s="18">
        <f t="shared" si="3"/>
        <v>0</v>
      </c>
      <c r="P15" s="19">
        <v>0</v>
      </c>
      <c r="Q15" s="20">
        <v>0</v>
      </c>
      <c r="R15" s="94">
        <f t="shared" si="4"/>
        <v>0</v>
      </c>
      <c r="S15" s="20">
        <v>0</v>
      </c>
      <c r="T15" s="21" t="e">
        <f t="shared" si="1"/>
        <v>#DIV/0!</v>
      </c>
    </row>
    <row r="16" spans="1:20" x14ac:dyDescent="0.25">
      <c r="A16" s="16">
        <v>20053510814000</v>
      </c>
      <c r="B16" s="1" t="s">
        <v>31</v>
      </c>
      <c r="C16" s="17">
        <v>100</v>
      </c>
      <c r="D16" s="2">
        <f t="shared" si="6"/>
        <v>100</v>
      </c>
      <c r="E16" s="2">
        <f t="shared" si="6"/>
        <v>100</v>
      </c>
      <c r="F16" s="2">
        <f t="shared" si="6"/>
        <v>100</v>
      </c>
      <c r="G16" s="2">
        <f t="shared" si="6"/>
        <v>100</v>
      </c>
      <c r="H16" s="2">
        <f t="shared" si="6"/>
        <v>100</v>
      </c>
      <c r="I16" s="2">
        <f t="shared" si="6"/>
        <v>100</v>
      </c>
      <c r="J16" s="2">
        <f t="shared" si="6"/>
        <v>100</v>
      </c>
      <c r="K16" s="2">
        <f t="shared" si="6"/>
        <v>100</v>
      </c>
      <c r="L16" s="2">
        <f t="shared" si="6"/>
        <v>100</v>
      </c>
      <c r="M16" s="2">
        <f t="shared" si="6"/>
        <v>100</v>
      </c>
      <c r="N16" s="2">
        <f t="shared" si="6"/>
        <v>100</v>
      </c>
      <c r="O16" s="18">
        <f t="shared" si="3"/>
        <v>1200</v>
      </c>
      <c r="P16" s="19">
        <v>2000</v>
      </c>
      <c r="Q16" s="20">
        <v>369</v>
      </c>
      <c r="R16" s="94">
        <f t="shared" si="4"/>
        <v>492</v>
      </c>
      <c r="S16" s="20">
        <v>20462.05</v>
      </c>
      <c r="T16" s="21">
        <f t="shared" si="1"/>
        <v>-0.4</v>
      </c>
    </row>
    <row r="17" spans="1:20" x14ac:dyDescent="0.25">
      <c r="A17" s="16">
        <v>20053510815000</v>
      </c>
      <c r="B17" s="1" t="s">
        <v>32</v>
      </c>
      <c r="C17" s="22">
        <f>'Fuel Worksheet 2026'!B20*0.25</f>
        <v>160.655</v>
      </c>
      <c r="D17" s="22">
        <f>'Fuel Worksheet 2026'!C20*0.25</f>
        <v>57.204999999999998</v>
      </c>
      <c r="E17" s="22">
        <f>'Fuel Worksheet 2026'!D20*0.25</f>
        <v>157.63499999999999</v>
      </c>
      <c r="F17" s="22">
        <f>'Fuel Worksheet 2026'!E20*0.25</f>
        <v>467.77499999999998</v>
      </c>
      <c r="G17" s="22">
        <f>'Fuel Worksheet 2026'!F20*0.25</f>
        <v>663.82249999999999</v>
      </c>
      <c r="H17" s="22">
        <f>'Fuel Worksheet 2026'!G20*0.25</f>
        <v>586.53</v>
      </c>
      <c r="I17" s="22">
        <f>'Fuel Worksheet 2026'!H20*0.25</f>
        <v>926.64750000000004</v>
      </c>
      <c r="J17" s="22">
        <f>'Fuel Worksheet 2026'!I20*0.25</f>
        <v>361.58249999999998</v>
      </c>
      <c r="K17" s="22">
        <f>'Fuel Worksheet 2026'!J20*0.25</f>
        <v>423.74999999999994</v>
      </c>
      <c r="L17" s="22">
        <f>'Fuel Worksheet 2026'!K20*0.25</f>
        <v>770.43749999999989</v>
      </c>
      <c r="M17" s="22">
        <f>'Fuel Worksheet 2026'!L20*0.25</f>
        <v>581.66499999999996</v>
      </c>
      <c r="N17" s="22">
        <f>'Fuel Worksheet 2026'!M20*0.25</f>
        <v>378.3125</v>
      </c>
      <c r="O17" s="18">
        <f t="shared" si="3"/>
        <v>5536.0174999999999</v>
      </c>
      <c r="P17" s="19">
        <v>8749</v>
      </c>
      <c r="Q17" s="20">
        <v>2417</v>
      </c>
      <c r="R17" s="94">
        <f t="shared" si="4"/>
        <v>3222.6666666666665</v>
      </c>
      <c r="S17" s="20">
        <v>5332</v>
      </c>
      <c r="T17" s="21">
        <f t="shared" si="1"/>
        <v>-0.36723997028231797</v>
      </c>
    </row>
    <row r="18" spans="1:20" x14ac:dyDescent="0.25">
      <c r="A18" s="16">
        <v>20053510816000</v>
      </c>
      <c r="B18" s="1" t="s">
        <v>33</v>
      </c>
      <c r="C18" s="17"/>
      <c r="D18" s="2">
        <f>C18</f>
        <v>0</v>
      </c>
      <c r="E18" s="2">
        <f t="shared" ref="E18:N18" si="7">D18</f>
        <v>0</v>
      </c>
      <c r="F18" s="2">
        <f t="shared" si="7"/>
        <v>0</v>
      </c>
      <c r="G18" s="2">
        <f t="shared" si="7"/>
        <v>0</v>
      </c>
      <c r="H18" s="2">
        <f t="shared" si="7"/>
        <v>0</v>
      </c>
      <c r="I18" s="2">
        <f t="shared" si="7"/>
        <v>0</v>
      </c>
      <c r="J18" s="2">
        <f t="shared" si="7"/>
        <v>0</v>
      </c>
      <c r="K18" s="2">
        <f t="shared" si="7"/>
        <v>0</v>
      </c>
      <c r="L18" s="2">
        <f t="shared" si="7"/>
        <v>0</v>
      </c>
      <c r="M18" s="2">
        <f t="shared" si="7"/>
        <v>0</v>
      </c>
      <c r="N18" s="2">
        <f t="shared" si="7"/>
        <v>0</v>
      </c>
      <c r="O18" s="18">
        <f t="shared" si="3"/>
        <v>0</v>
      </c>
      <c r="P18" s="19">
        <v>0</v>
      </c>
      <c r="Q18" s="20"/>
      <c r="R18" s="94">
        <f t="shared" si="4"/>
        <v>0</v>
      </c>
      <c r="S18" s="20">
        <v>0</v>
      </c>
      <c r="T18" s="21" t="e">
        <f t="shared" si="1"/>
        <v>#DIV/0!</v>
      </c>
    </row>
    <row r="19" spans="1:20" x14ac:dyDescent="0.25">
      <c r="A19" s="16">
        <v>20053510817000</v>
      </c>
      <c r="B19" s="1" t="s">
        <v>34</v>
      </c>
      <c r="C19" s="22">
        <f t="shared" ref="C19:N19" si="8">(SUM(C42:C43))*0.025</f>
        <v>80.670450000000002</v>
      </c>
      <c r="D19" s="22">
        <f t="shared" si="8"/>
        <v>28.81653</v>
      </c>
      <c r="E19" s="22">
        <f t="shared" si="8"/>
        <v>80.393849999999986</v>
      </c>
      <c r="F19" s="22">
        <f t="shared" si="8"/>
        <v>231.62598</v>
      </c>
      <c r="G19" s="22">
        <f t="shared" si="8"/>
        <v>327.08230500000002</v>
      </c>
      <c r="H19" s="22">
        <f t="shared" si="8"/>
        <v>287.75790000000001</v>
      </c>
      <c r="I19" s="22">
        <f t="shared" si="8"/>
        <v>468.34663499999999</v>
      </c>
      <c r="J19" s="22">
        <f t="shared" si="8"/>
        <v>181.774575</v>
      </c>
      <c r="K19" s="22">
        <f t="shared" si="8"/>
        <v>216.11249999999995</v>
      </c>
      <c r="L19" s="22">
        <f t="shared" si="8"/>
        <v>381.55072499999994</v>
      </c>
      <c r="M19" s="22">
        <f t="shared" si="8"/>
        <v>286.41399000000001</v>
      </c>
      <c r="N19" s="22">
        <f t="shared" si="8"/>
        <v>184.41007500000001</v>
      </c>
      <c r="O19" s="18">
        <f t="shared" si="3"/>
        <v>2754.9555149999997</v>
      </c>
      <c r="P19" s="19">
        <v>5303</v>
      </c>
      <c r="Q19" s="20">
        <v>1727</v>
      </c>
      <c r="R19" s="94">
        <f t="shared" si="4"/>
        <v>2302.6666666666665</v>
      </c>
      <c r="S19" s="20">
        <v>4654.58</v>
      </c>
      <c r="T19" s="21">
        <f>+(O19-P19)/P19</f>
        <v>-0.48049113426362444</v>
      </c>
    </row>
    <row r="20" spans="1:20" x14ac:dyDescent="0.25">
      <c r="A20" s="16">
        <v>20053510820000</v>
      </c>
      <c r="B20" s="1" t="s">
        <v>35</v>
      </c>
      <c r="C20" s="17">
        <v>200</v>
      </c>
      <c r="D20" s="2">
        <f>C20</f>
        <v>200</v>
      </c>
      <c r="E20" s="2">
        <f t="shared" ref="E20:N20" si="9">D20</f>
        <v>200</v>
      </c>
      <c r="F20" s="2">
        <f t="shared" si="9"/>
        <v>200</v>
      </c>
      <c r="G20" s="2">
        <f t="shared" si="9"/>
        <v>200</v>
      </c>
      <c r="H20" s="2">
        <f t="shared" si="9"/>
        <v>200</v>
      </c>
      <c r="I20" s="2">
        <f t="shared" si="9"/>
        <v>200</v>
      </c>
      <c r="J20" s="2">
        <f t="shared" si="9"/>
        <v>200</v>
      </c>
      <c r="K20" s="2">
        <f t="shared" si="9"/>
        <v>200</v>
      </c>
      <c r="L20" s="2">
        <f t="shared" si="9"/>
        <v>200</v>
      </c>
      <c r="M20" s="2">
        <f t="shared" si="9"/>
        <v>200</v>
      </c>
      <c r="N20" s="2">
        <f t="shared" si="9"/>
        <v>200</v>
      </c>
      <c r="O20" s="18">
        <f t="shared" si="3"/>
        <v>2400</v>
      </c>
      <c r="P20" s="19">
        <v>2400</v>
      </c>
      <c r="Q20" s="20">
        <v>1523</v>
      </c>
      <c r="R20" s="94">
        <f t="shared" si="4"/>
        <v>2030.6666666666667</v>
      </c>
      <c r="S20" s="20">
        <v>2435.1799999999998</v>
      </c>
      <c r="T20" s="21">
        <f t="shared" si="1"/>
        <v>0</v>
      </c>
    </row>
    <row r="21" spans="1:20" x14ac:dyDescent="0.25">
      <c r="A21" s="16">
        <v>20053510821000</v>
      </c>
      <c r="B21" s="1" t="s">
        <v>36</v>
      </c>
      <c r="C21" s="17">
        <v>600</v>
      </c>
      <c r="D21" s="2">
        <f t="shared" ref="D21:N25" si="10">C21</f>
        <v>600</v>
      </c>
      <c r="E21" s="2">
        <f t="shared" si="10"/>
        <v>600</v>
      </c>
      <c r="F21" s="2">
        <f t="shared" si="10"/>
        <v>600</v>
      </c>
      <c r="G21" s="2">
        <f t="shared" si="10"/>
        <v>600</v>
      </c>
      <c r="H21" s="2">
        <f t="shared" si="10"/>
        <v>600</v>
      </c>
      <c r="I21" s="2">
        <f t="shared" si="10"/>
        <v>600</v>
      </c>
      <c r="J21" s="2">
        <f t="shared" si="10"/>
        <v>600</v>
      </c>
      <c r="K21" s="2">
        <f t="shared" si="10"/>
        <v>600</v>
      </c>
      <c r="L21" s="2">
        <f t="shared" si="10"/>
        <v>600</v>
      </c>
      <c r="M21" s="2">
        <f t="shared" si="10"/>
        <v>600</v>
      </c>
      <c r="N21" s="2">
        <f t="shared" si="10"/>
        <v>600</v>
      </c>
      <c r="O21" s="18">
        <f t="shared" si="3"/>
        <v>7200</v>
      </c>
      <c r="P21" s="19">
        <v>3000</v>
      </c>
      <c r="Q21" s="20">
        <v>5300</v>
      </c>
      <c r="R21" s="94">
        <f t="shared" si="4"/>
        <v>7066.666666666667</v>
      </c>
      <c r="S21" s="20">
        <v>3342.27</v>
      </c>
      <c r="T21" s="21">
        <f t="shared" si="1"/>
        <v>1.4</v>
      </c>
    </row>
    <row r="22" spans="1:20" hidden="1" x14ac:dyDescent="0.25">
      <c r="A22" s="16">
        <v>20053510822000</v>
      </c>
      <c r="B22" s="1" t="s">
        <v>37</v>
      </c>
      <c r="C22" s="17"/>
      <c r="D22" s="2">
        <f t="shared" si="10"/>
        <v>0</v>
      </c>
      <c r="E22" s="2">
        <f t="shared" si="10"/>
        <v>0</v>
      </c>
      <c r="F22" s="2">
        <f t="shared" si="10"/>
        <v>0</v>
      </c>
      <c r="G22" s="2">
        <f t="shared" si="10"/>
        <v>0</v>
      </c>
      <c r="H22" s="2">
        <f t="shared" si="10"/>
        <v>0</v>
      </c>
      <c r="I22" s="2">
        <f t="shared" si="10"/>
        <v>0</v>
      </c>
      <c r="J22" s="2">
        <f t="shared" si="10"/>
        <v>0</v>
      </c>
      <c r="K22" s="2">
        <f t="shared" si="10"/>
        <v>0</v>
      </c>
      <c r="L22" s="2">
        <f t="shared" si="10"/>
        <v>0</v>
      </c>
      <c r="M22" s="2">
        <f t="shared" si="10"/>
        <v>0</v>
      </c>
      <c r="N22" s="2">
        <f t="shared" si="10"/>
        <v>0</v>
      </c>
      <c r="O22" s="18">
        <f t="shared" si="3"/>
        <v>0</v>
      </c>
      <c r="P22" s="19">
        <v>0</v>
      </c>
      <c r="Q22" s="20">
        <v>0</v>
      </c>
      <c r="R22" s="94">
        <f t="shared" si="4"/>
        <v>0</v>
      </c>
      <c r="S22" s="20">
        <v>0</v>
      </c>
      <c r="T22" s="21" t="e">
        <f t="shared" si="1"/>
        <v>#DIV/0!</v>
      </c>
    </row>
    <row r="23" spans="1:20" x14ac:dyDescent="0.25">
      <c r="A23" s="16">
        <v>20053510823000</v>
      </c>
      <c r="B23" s="1" t="s">
        <v>38</v>
      </c>
      <c r="C23" s="17">
        <v>900</v>
      </c>
      <c r="D23" s="2">
        <f t="shared" si="10"/>
        <v>900</v>
      </c>
      <c r="E23" s="2">
        <f t="shared" si="10"/>
        <v>900</v>
      </c>
      <c r="F23" s="2">
        <f t="shared" si="10"/>
        <v>900</v>
      </c>
      <c r="G23" s="2">
        <f t="shared" si="10"/>
        <v>900</v>
      </c>
      <c r="H23" s="2">
        <f t="shared" si="10"/>
        <v>900</v>
      </c>
      <c r="I23" s="2">
        <f t="shared" si="10"/>
        <v>900</v>
      </c>
      <c r="J23" s="2">
        <f t="shared" si="10"/>
        <v>900</v>
      </c>
      <c r="K23" s="2">
        <f t="shared" si="10"/>
        <v>900</v>
      </c>
      <c r="L23" s="2">
        <f t="shared" si="10"/>
        <v>900</v>
      </c>
      <c r="M23" s="2">
        <f t="shared" si="10"/>
        <v>900</v>
      </c>
      <c r="N23" s="2">
        <f t="shared" si="10"/>
        <v>900</v>
      </c>
      <c r="O23" s="18">
        <f t="shared" si="3"/>
        <v>10800</v>
      </c>
      <c r="P23" s="19">
        <v>9600</v>
      </c>
      <c r="Q23" s="20">
        <v>7575</v>
      </c>
      <c r="R23" s="94">
        <f t="shared" si="4"/>
        <v>10100</v>
      </c>
      <c r="S23" s="20">
        <v>6467</v>
      </c>
      <c r="T23" s="21">
        <f t="shared" si="1"/>
        <v>0.125</v>
      </c>
    </row>
    <row r="24" spans="1:20" x14ac:dyDescent="0.25">
      <c r="A24" s="16">
        <v>20053510824000</v>
      </c>
      <c r="B24" s="1" t="s">
        <v>39</v>
      </c>
      <c r="C24" s="22">
        <f>10660*1.03</f>
        <v>10979.800000000001</v>
      </c>
      <c r="D24" s="22">
        <f>C24</f>
        <v>10979.800000000001</v>
      </c>
      <c r="E24" s="22">
        <f t="shared" si="10"/>
        <v>10979.800000000001</v>
      </c>
      <c r="F24" s="22">
        <f t="shared" si="10"/>
        <v>10979.800000000001</v>
      </c>
      <c r="G24" s="22">
        <f t="shared" si="10"/>
        <v>10979.800000000001</v>
      </c>
      <c r="H24" s="22">
        <f t="shared" si="10"/>
        <v>10979.800000000001</v>
      </c>
      <c r="I24" s="22">
        <f t="shared" si="10"/>
        <v>10979.800000000001</v>
      </c>
      <c r="J24" s="22">
        <f t="shared" si="10"/>
        <v>10979.800000000001</v>
      </c>
      <c r="K24" s="22">
        <f t="shared" si="10"/>
        <v>10979.800000000001</v>
      </c>
      <c r="L24" s="22">
        <f t="shared" si="10"/>
        <v>10979.800000000001</v>
      </c>
      <c r="M24" s="22">
        <f t="shared" si="10"/>
        <v>10979.800000000001</v>
      </c>
      <c r="N24" s="22">
        <f t="shared" si="10"/>
        <v>10979.800000000001</v>
      </c>
      <c r="O24" s="18">
        <f t="shared" si="3"/>
        <v>131757.6</v>
      </c>
      <c r="P24" s="19">
        <v>124800</v>
      </c>
      <c r="Q24" s="20">
        <v>96233</v>
      </c>
      <c r="R24" s="94">
        <f t="shared" si="4"/>
        <v>128310.66666666666</v>
      </c>
      <c r="S24" s="20">
        <v>126911.25</v>
      </c>
      <c r="T24" s="21">
        <f t="shared" si="1"/>
        <v>5.575000000000005E-2</v>
      </c>
    </row>
    <row r="25" spans="1:20" x14ac:dyDescent="0.25">
      <c r="A25" s="16">
        <v>20053510827000</v>
      </c>
      <c r="B25" s="1" t="s">
        <v>40</v>
      </c>
      <c r="C25" s="17">
        <v>4</v>
      </c>
      <c r="D25" s="2">
        <f>C25</f>
        <v>4</v>
      </c>
      <c r="E25" s="2">
        <f t="shared" si="10"/>
        <v>4</v>
      </c>
      <c r="F25" s="2">
        <f t="shared" si="10"/>
        <v>4</v>
      </c>
      <c r="G25" s="2">
        <f t="shared" si="10"/>
        <v>4</v>
      </c>
      <c r="H25" s="2">
        <f t="shared" si="10"/>
        <v>4</v>
      </c>
      <c r="I25" s="2">
        <f t="shared" si="10"/>
        <v>4</v>
      </c>
      <c r="J25" s="2">
        <f t="shared" si="10"/>
        <v>4</v>
      </c>
      <c r="K25" s="2">
        <f t="shared" si="10"/>
        <v>4</v>
      </c>
      <c r="L25" s="2">
        <f t="shared" si="10"/>
        <v>4</v>
      </c>
      <c r="M25" s="2">
        <f t="shared" si="10"/>
        <v>4</v>
      </c>
      <c r="N25" s="2">
        <f t="shared" si="10"/>
        <v>4</v>
      </c>
      <c r="O25" s="18">
        <f t="shared" si="3"/>
        <v>48</v>
      </c>
      <c r="P25" s="19">
        <v>36</v>
      </c>
      <c r="Q25" s="20">
        <v>36</v>
      </c>
      <c r="R25" s="94">
        <f t="shared" si="4"/>
        <v>48</v>
      </c>
      <c r="S25" s="20">
        <v>331.23</v>
      </c>
      <c r="T25" s="21">
        <f t="shared" si="1"/>
        <v>0.33333333333333331</v>
      </c>
    </row>
    <row r="26" spans="1:20" x14ac:dyDescent="0.25">
      <c r="A26" s="16">
        <v>20053510828000</v>
      </c>
      <c r="B26" s="1" t="s">
        <v>41</v>
      </c>
      <c r="C26" s="17">
        <v>20</v>
      </c>
      <c r="D26" s="2">
        <f t="shared" ref="D26:N35" si="11">C26</f>
        <v>20</v>
      </c>
      <c r="E26" s="2">
        <f t="shared" si="11"/>
        <v>20</v>
      </c>
      <c r="F26" s="2">
        <f t="shared" si="11"/>
        <v>20</v>
      </c>
      <c r="G26" s="2">
        <f t="shared" si="11"/>
        <v>20</v>
      </c>
      <c r="H26" s="2">
        <f t="shared" si="11"/>
        <v>20</v>
      </c>
      <c r="I26" s="2">
        <f t="shared" si="11"/>
        <v>20</v>
      </c>
      <c r="J26" s="2">
        <f t="shared" si="11"/>
        <v>20</v>
      </c>
      <c r="K26" s="2">
        <f t="shared" si="11"/>
        <v>20</v>
      </c>
      <c r="L26" s="2">
        <f t="shared" si="11"/>
        <v>20</v>
      </c>
      <c r="M26" s="2">
        <f t="shared" si="11"/>
        <v>20</v>
      </c>
      <c r="N26" s="2">
        <f t="shared" si="11"/>
        <v>20</v>
      </c>
      <c r="O26" s="18">
        <f t="shared" si="3"/>
        <v>240</v>
      </c>
      <c r="P26" s="19">
        <v>252</v>
      </c>
      <c r="Q26" s="20">
        <v>0</v>
      </c>
      <c r="R26" s="94">
        <f t="shared" si="4"/>
        <v>0</v>
      </c>
      <c r="S26" s="20">
        <v>454.38</v>
      </c>
      <c r="T26" s="21">
        <f t="shared" si="1"/>
        <v>-4.7619047619047616E-2</v>
      </c>
    </row>
    <row r="27" spans="1:20" hidden="1" x14ac:dyDescent="0.25">
      <c r="A27" s="16">
        <v>20053510829000</v>
      </c>
      <c r="B27" s="1" t="s">
        <v>42</v>
      </c>
      <c r="C27" s="17"/>
      <c r="D27" s="2">
        <f t="shared" si="11"/>
        <v>0</v>
      </c>
      <c r="E27" s="2">
        <f t="shared" si="11"/>
        <v>0</v>
      </c>
      <c r="F27" s="2">
        <f t="shared" si="11"/>
        <v>0</v>
      </c>
      <c r="G27" s="2">
        <f t="shared" si="11"/>
        <v>0</v>
      </c>
      <c r="H27" s="2">
        <f t="shared" si="11"/>
        <v>0</v>
      </c>
      <c r="I27" s="2">
        <f t="shared" si="11"/>
        <v>0</v>
      </c>
      <c r="J27" s="2">
        <f t="shared" si="11"/>
        <v>0</v>
      </c>
      <c r="K27" s="2">
        <f t="shared" si="11"/>
        <v>0</v>
      </c>
      <c r="L27" s="2">
        <f t="shared" si="11"/>
        <v>0</v>
      </c>
      <c r="M27" s="2">
        <f t="shared" si="11"/>
        <v>0</v>
      </c>
      <c r="N27" s="2">
        <f t="shared" si="11"/>
        <v>0</v>
      </c>
      <c r="O27" s="18">
        <f t="shared" si="3"/>
        <v>0</v>
      </c>
      <c r="P27" s="19">
        <v>0</v>
      </c>
      <c r="Q27" s="20">
        <v>0</v>
      </c>
      <c r="R27" s="94">
        <f t="shared" si="4"/>
        <v>0</v>
      </c>
      <c r="S27" s="20">
        <v>497.65</v>
      </c>
      <c r="T27" s="21" t="e">
        <f t="shared" si="1"/>
        <v>#DIV/0!</v>
      </c>
    </row>
    <row r="28" spans="1:20" x14ac:dyDescent="0.25">
      <c r="A28" s="16">
        <v>20053510830000</v>
      </c>
      <c r="B28" s="1" t="s">
        <v>43</v>
      </c>
      <c r="C28" s="17">
        <v>300</v>
      </c>
      <c r="D28" s="2">
        <f t="shared" si="11"/>
        <v>300</v>
      </c>
      <c r="E28" s="2">
        <f t="shared" si="11"/>
        <v>300</v>
      </c>
      <c r="F28" s="2">
        <f t="shared" si="11"/>
        <v>300</v>
      </c>
      <c r="G28" s="2">
        <f t="shared" si="11"/>
        <v>300</v>
      </c>
      <c r="H28" s="2">
        <f t="shared" si="11"/>
        <v>300</v>
      </c>
      <c r="I28" s="2">
        <f t="shared" si="11"/>
        <v>300</v>
      </c>
      <c r="J28" s="2">
        <f t="shared" si="11"/>
        <v>300</v>
      </c>
      <c r="K28" s="2">
        <f t="shared" si="11"/>
        <v>300</v>
      </c>
      <c r="L28" s="2">
        <f t="shared" si="11"/>
        <v>300</v>
      </c>
      <c r="M28" s="2">
        <f t="shared" si="11"/>
        <v>300</v>
      </c>
      <c r="N28" s="2">
        <f t="shared" si="11"/>
        <v>300</v>
      </c>
      <c r="O28" s="18">
        <f t="shared" si="3"/>
        <v>3600</v>
      </c>
      <c r="P28" s="19">
        <v>2000</v>
      </c>
      <c r="Q28" s="20">
        <v>2368</v>
      </c>
      <c r="R28" s="94">
        <f t="shared" si="4"/>
        <v>3157.333333333333</v>
      </c>
      <c r="S28" s="20">
        <v>1902.26</v>
      </c>
      <c r="T28" s="21">
        <f t="shared" si="1"/>
        <v>0.8</v>
      </c>
    </row>
    <row r="29" spans="1:20" hidden="1" x14ac:dyDescent="0.25">
      <c r="A29" s="16">
        <v>20053510831000</v>
      </c>
      <c r="B29" s="1" t="s">
        <v>44</v>
      </c>
      <c r="C29" s="17"/>
      <c r="D29" s="2">
        <f t="shared" si="11"/>
        <v>0</v>
      </c>
      <c r="E29" s="2">
        <f t="shared" si="11"/>
        <v>0</v>
      </c>
      <c r="F29" s="2">
        <f t="shared" si="11"/>
        <v>0</v>
      </c>
      <c r="G29" s="2">
        <f t="shared" si="11"/>
        <v>0</v>
      </c>
      <c r="H29" s="2">
        <f t="shared" si="11"/>
        <v>0</v>
      </c>
      <c r="I29" s="2">
        <f t="shared" si="11"/>
        <v>0</v>
      </c>
      <c r="J29" s="2">
        <f t="shared" si="11"/>
        <v>0</v>
      </c>
      <c r="K29" s="2">
        <f t="shared" si="11"/>
        <v>0</v>
      </c>
      <c r="L29" s="2">
        <f t="shared" si="11"/>
        <v>0</v>
      </c>
      <c r="M29" s="2">
        <f t="shared" si="11"/>
        <v>0</v>
      </c>
      <c r="N29" s="2">
        <f t="shared" si="11"/>
        <v>0</v>
      </c>
      <c r="O29" s="18">
        <f t="shared" si="3"/>
        <v>0</v>
      </c>
      <c r="P29" s="19">
        <v>0</v>
      </c>
      <c r="Q29" s="20">
        <v>0</v>
      </c>
      <c r="R29" s="94">
        <f t="shared" si="4"/>
        <v>0</v>
      </c>
      <c r="S29" s="20">
        <v>0</v>
      </c>
      <c r="T29" s="21" t="e">
        <f t="shared" si="1"/>
        <v>#DIV/0!</v>
      </c>
    </row>
    <row r="30" spans="1:20" x14ac:dyDescent="0.25">
      <c r="A30" s="16">
        <v>20053510833000</v>
      </c>
      <c r="B30" s="1" t="s">
        <v>45</v>
      </c>
      <c r="C30" s="17">
        <v>300</v>
      </c>
      <c r="D30" s="2">
        <f t="shared" si="11"/>
        <v>300</v>
      </c>
      <c r="E30" s="2">
        <f t="shared" si="11"/>
        <v>300</v>
      </c>
      <c r="F30" s="2">
        <f t="shared" si="11"/>
        <v>300</v>
      </c>
      <c r="G30" s="2">
        <f t="shared" si="11"/>
        <v>300</v>
      </c>
      <c r="H30" s="2">
        <f t="shared" si="11"/>
        <v>300</v>
      </c>
      <c r="I30" s="2">
        <f t="shared" si="11"/>
        <v>300</v>
      </c>
      <c r="J30" s="2">
        <f t="shared" si="11"/>
        <v>300</v>
      </c>
      <c r="K30" s="2">
        <f t="shared" si="11"/>
        <v>300</v>
      </c>
      <c r="L30" s="2">
        <f t="shared" si="11"/>
        <v>300</v>
      </c>
      <c r="M30" s="2">
        <f t="shared" si="11"/>
        <v>300</v>
      </c>
      <c r="N30" s="2">
        <f t="shared" si="11"/>
        <v>300</v>
      </c>
      <c r="O30" s="18">
        <f t="shared" si="3"/>
        <v>3600</v>
      </c>
      <c r="P30" s="19">
        <v>3600</v>
      </c>
      <c r="Q30" s="20">
        <v>2359</v>
      </c>
      <c r="R30" s="94">
        <f t="shared" si="4"/>
        <v>3145.333333333333</v>
      </c>
      <c r="S30" s="20">
        <v>4201.3900000000003</v>
      </c>
      <c r="T30" s="21">
        <f t="shared" si="1"/>
        <v>0</v>
      </c>
    </row>
    <row r="31" spans="1:20" x14ac:dyDescent="0.25">
      <c r="A31" s="16">
        <v>20053510836000</v>
      </c>
      <c r="B31" s="1" t="s">
        <v>46</v>
      </c>
      <c r="C31" s="17">
        <v>750</v>
      </c>
      <c r="D31" s="2">
        <f t="shared" si="11"/>
        <v>750</v>
      </c>
      <c r="E31" s="2">
        <f t="shared" si="11"/>
        <v>750</v>
      </c>
      <c r="F31" s="2">
        <f t="shared" si="11"/>
        <v>750</v>
      </c>
      <c r="G31" s="2">
        <f t="shared" si="11"/>
        <v>750</v>
      </c>
      <c r="H31" s="2">
        <f t="shared" si="11"/>
        <v>750</v>
      </c>
      <c r="I31" s="2">
        <f t="shared" si="11"/>
        <v>750</v>
      </c>
      <c r="J31" s="2">
        <f t="shared" si="11"/>
        <v>750</v>
      </c>
      <c r="K31" s="2">
        <f t="shared" si="11"/>
        <v>750</v>
      </c>
      <c r="L31" s="2">
        <f t="shared" si="11"/>
        <v>750</v>
      </c>
      <c r="M31" s="2">
        <f t="shared" si="11"/>
        <v>750</v>
      </c>
      <c r="N31" s="2">
        <f t="shared" si="11"/>
        <v>750</v>
      </c>
      <c r="O31" s="18">
        <f t="shared" si="3"/>
        <v>9000</v>
      </c>
      <c r="P31" s="19">
        <v>9000</v>
      </c>
      <c r="Q31" s="20">
        <v>6648</v>
      </c>
      <c r="R31" s="94">
        <f t="shared" si="4"/>
        <v>8864</v>
      </c>
      <c r="S31" s="20">
        <v>8341.7800000000007</v>
      </c>
      <c r="T31" s="21">
        <f t="shared" si="1"/>
        <v>0</v>
      </c>
    </row>
    <row r="32" spans="1:20" x14ac:dyDescent="0.25">
      <c r="A32" s="16">
        <v>20053510841000</v>
      </c>
      <c r="B32" s="1" t="s">
        <v>47</v>
      </c>
      <c r="C32" s="17">
        <v>50</v>
      </c>
      <c r="D32" s="2">
        <f t="shared" si="11"/>
        <v>50</v>
      </c>
      <c r="E32" s="2">
        <f t="shared" si="11"/>
        <v>50</v>
      </c>
      <c r="F32" s="2">
        <f t="shared" si="11"/>
        <v>50</v>
      </c>
      <c r="G32" s="2">
        <f t="shared" si="11"/>
        <v>50</v>
      </c>
      <c r="H32" s="2">
        <f t="shared" si="11"/>
        <v>50</v>
      </c>
      <c r="I32" s="2">
        <f t="shared" si="11"/>
        <v>50</v>
      </c>
      <c r="J32" s="2">
        <f t="shared" si="11"/>
        <v>50</v>
      </c>
      <c r="K32" s="2">
        <f t="shared" si="11"/>
        <v>50</v>
      </c>
      <c r="L32" s="2">
        <f t="shared" si="11"/>
        <v>50</v>
      </c>
      <c r="M32" s="2">
        <f t="shared" si="11"/>
        <v>50</v>
      </c>
      <c r="N32" s="2">
        <f t="shared" si="11"/>
        <v>50</v>
      </c>
      <c r="O32" s="18">
        <f t="shared" si="3"/>
        <v>600</v>
      </c>
      <c r="P32" s="19">
        <v>1002</v>
      </c>
      <c r="Q32" s="20">
        <v>0</v>
      </c>
      <c r="R32" s="94">
        <f t="shared" si="4"/>
        <v>0</v>
      </c>
      <c r="S32" s="20">
        <v>0</v>
      </c>
      <c r="T32" s="21">
        <f t="shared" si="1"/>
        <v>-0.40119760479041916</v>
      </c>
    </row>
    <row r="33" spans="1:20" hidden="1" x14ac:dyDescent="0.25">
      <c r="A33" s="16">
        <v>20053510847000</v>
      </c>
      <c r="B33" s="1" t="s">
        <v>48</v>
      </c>
      <c r="C33" s="17"/>
      <c r="D33" s="2">
        <f t="shared" si="11"/>
        <v>0</v>
      </c>
      <c r="E33" s="2">
        <f t="shared" si="11"/>
        <v>0</v>
      </c>
      <c r="F33" s="2">
        <f t="shared" si="11"/>
        <v>0</v>
      </c>
      <c r="G33" s="2">
        <f t="shared" si="11"/>
        <v>0</v>
      </c>
      <c r="H33" s="2">
        <f t="shared" si="11"/>
        <v>0</v>
      </c>
      <c r="I33" s="2">
        <f t="shared" si="11"/>
        <v>0</v>
      </c>
      <c r="J33" s="2">
        <f t="shared" si="11"/>
        <v>0</v>
      </c>
      <c r="K33" s="2">
        <f t="shared" si="11"/>
        <v>0</v>
      </c>
      <c r="L33" s="2">
        <f t="shared" si="11"/>
        <v>0</v>
      </c>
      <c r="M33" s="2">
        <f t="shared" si="11"/>
        <v>0</v>
      </c>
      <c r="N33" s="2">
        <f t="shared" si="11"/>
        <v>0</v>
      </c>
      <c r="O33" s="18">
        <f t="shared" si="3"/>
        <v>0</v>
      </c>
      <c r="P33" s="19">
        <v>0</v>
      </c>
      <c r="Q33" s="20">
        <v>0</v>
      </c>
      <c r="R33" s="94">
        <f t="shared" si="4"/>
        <v>0</v>
      </c>
      <c r="S33" s="20">
        <v>0</v>
      </c>
      <c r="T33" s="21" t="e">
        <f t="shared" si="1"/>
        <v>#DIV/0!</v>
      </c>
    </row>
    <row r="34" spans="1:20" x14ac:dyDescent="0.25">
      <c r="A34" s="16">
        <v>20053510848000</v>
      </c>
      <c r="B34" s="1" t="s">
        <v>49</v>
      </c>
      <c r="C34" s="17">
        <v>1000</v>
      </c>
      <c r="D34" s="2">
        <f t="shared" si="11"/>
        <v>1000</v>
      </c>
      <c r="E34" s="2">
        <f t="shared" si="11"/>
        <v>1000</v>
      </c>
      <c r="F34" s="2">
        <f t="shared" si="11"/>
        <v>1000</v>
      </c>
      <c r="G34" s="2">
        <f t="shared" si="11"/>
        <v>1000</v>
      </c>
      <c r="H34" s="2">
        <f t="shared" si="11"/>
        <v>1000</v>
      </c>
      <c r="I34" s="2">
        <f t="shared" si="11"/>
        <v>1000</v>
      </c>
      <c r="J34" s="2">
        <f t="shared" si="11"/>
        <v>1000</v>
      </c>
      <c r="K34" s="2">
        <f t="shared" si="11"/>
        <v>1000</v>
      </c>
      <c r="L34" s="2">
        <f t="shared" si="11"/>
        <v>1000</v>
      </c>
      <c r="M34" s="2">
        <f t="shared" si="11"/>
        <v>1000</v>
      </c>
      <c r="N34" s="2">
        <f t="shared" si="11"/>
        <v>1000</v>
      </c>
      <c r="O34" s="18">
        <f t="shared" si="3"/>
        <v>12000</v>
      </c>
      <c r="P34" s="19">
        <v>15600</v>
      </c>
      <c r="Q34" s="20">
        <v>6036</v>
      </c>
      <c r="R34" s="94">
        <f t="shared" si="4"/>
        <v>8048</v>
      </c>
      <c r="S34" s="20">
        <v>15650.61</v>
      </c>
      <c r="T34" s="21">
        <f t="shared" si="1"/>
        <v>-0.23076923076923078</v>
      </c>
    </row>
    <row r="35" spans="1:20" x14ac:dyDescent="0.25">
      <c r="A35" s="16">
        <v>20053510850000</v>
      </c>
      <c r="B35" s="1" t="s">
        <v>50</v>
      </c>
      <c r="C35" s="17"/>
      <c r="D35" s="2">
        <f t="shared" si="11"/>
        <v>0</v>
      </c>
      <c r="E35" s="2">
        <f t="shared" si="11"/>
        <v>0</v>
      </c>
      <c r="F35" s="2">
        <f t="shared" si="11"/>
        <v>0</v>
      </c>
      <c r="G35" s="2">
        <f t="shared" si="11"/>
        <v>0</v>
      </c>
      <c r="H35" s="2">
        <f t="shared" si="11"/>
        <v>0</v>
      </c>
      <c r="I35" s="2">
        <f t="shared" si="11"/>
        <v>0</v>
      </c>
      <c r="J35" s="2">
        <f t="shared" si="11"/>
        <v>0</v>
      </c>
      <c r="K35" s="2">
        <f t="shared" si="11"/>
        <v>0</v>
      </c>
      <c r="L35" s="2">
        <f t="shared" si="11"/>
        <v>0</v>
      </c>
      <c r="M35" s="2">
        <f t="shared" si="11"/>
        <v>0</v>
      </c>
      <c r="N35" s="2">
        <f t="shared" si="11"/>
        <v>0</v>
      </c>
      <c r="O35" s="100">
        <f t="shared" si="3"/>
        <v>0</v>
      </c>
      <c r="P35" s="23">
        <v>0</v>
      </c>
      <c r="Q35" s="24">
        <v>0</v>
      </c>
      <c r="R35" s="101">
        <f t="shared" si="4"/>
        <v>0</v>
      </c>
      <c r="S35" s="24">
        <v>0</v>
      </c>
      <c r="T35" s="21" t="e">
        <f t="shared" si="1"/>
        <v>#DIV/0!</v>
      </c>
    </row>
    <row r="36" spans="1:20" x14ac:dyDescent="0.25">
      <c r="A36" s="1"/>
      <c r="B36" s="25" t="s">
        <v>51</v>
      </c>
      <c r="C36" s="26">
        <f t="shared" ref="C36:P36" si="12">SUM(C5:C35)</f>
        <v>19399.921450000002</v>
      </c>
      <c r="D36" s="26">
        <f t="shared" si="12"/>
        <v>17686.012730000002</v>
      </c>
      <c r="E36" s="26">
        <f t="shared" si="12"/>
        <v>19483.08885</v>
      </c>
      <c r="F36" s="26">
        <f t="shared" si="12"/>
        <v>24166.512180000002</v>
      </c>
      <c r="G36" s="26">
        <f t="shared" si="12"/>
        <v>27111.800005000001</v>
      </c>
      <c r="H36" s="26">
        <f t="shared" si="12"/>
        <v>28258.611900000004</v>
      </c>
      <c r="I36" s="26">
        <f t="shared" si="12"/>
        <v>32491.604535000006</v>
      </c>
      <c r="J36" s="26">
        <f t="shared" si="12"/>
        <v>22770.777074999998</v>
      </c>
      <c r="K36" s="26">
        <f t="shared" si="12"/>
        <v>24142.762499999997</v>
      </c>
      <c r="L36" s="26">
        <f t="shared" si="12"/>
        <v>28988.832224999998</v>
      </c>
      <c r="M36" s="26">
        <f t="shared" si="12"/>
        <v>25805.868590000005</v>
      </c>
      <c r="N36" s="26">
        <f t="shared" si="12"/>
        <v>22428.830575</v>
      </c>
      <c r="O36" s="27">
        <f t="shared" si="12"/>
        <v>292734.622615</v>
      </c>
      <c r="P36" s="28">
        <f t="shared" si="12"/>
        <v>376113</v>
      </c>
      <c r="Q36" s="29">
        <f t="shared" ref="Q36" si="13">SUM(Q5:Q35)</f>
        <v>186921</v>
      </c>
      <c r="R36" s="95">
        <f t="shared" ref="R36" si="14">SUM(R5:R35)</f>
        <v>249228.00000000003</v>
      </c>
      <c r="S36" s="29">
        <v>386544.25</v>
      </c>
      <c r="T36" s="29"/>
    </row>
    <row r="37" spans="1:20" x14ac:dyDescent="0.25">
      <c r="A37" s="1"/>
      <c r="B37" s="25"/>
      <c r="C37" s="102">
        <f>C36</f>
        <v>19399.921450000002</v>
      </c>
      <c r="D37" s="102">
        <f>D36+C36</f>
        <v>37085.934180000004</v>
      </c>
      <c r="E37" s="102">
        <f>D37+E36</f>
        <v>56569.023030000004</v>
      </c>
      <c r="F37" s="102">
        <f>E37+F36</f>
        <v>80735.535210000002</v>
      </c>
      <c r="G37" s="102">
        <f t="shared" ref="G37:N37" si="15">F37+G36</f>
        <v>107847.335215</v>
      </c>
      <c r="H37" s="102">
        <f t="shared" si="15"/>
        <v>136105.94711499999</v>
      </c>
      <c r="I37" s="102">
        <f t="shared" si="15"/>
        <v>168597.55164999998</v>
      </c>
      <c r="J37" s="102">
        <f t="shared" si="15"/>
        <v>191368.32872499997</v>
      </c>
      <c r="K37" s="102">
        <f t="shared" si="15"/>
        <v>215511.09122499998</v>
      </c>
      <c r="L37" s="102">
        <f t="shared" si="15"/>
        <v>244499.92344999997</v>
      </c>
      <c r="M37" s="102">
        <f t="shared" si="15"/>
        <v>270305.79203999997</v>
      </c>
      <c r="N37" s="102">
        <f t="shared" si="15"/>
        <v>292734.622615</v>
      </c>
      <c r="O37" s="27"/>
      <c r="P37" s="28"/>
      <c r="Q37" s="29"/>
      <c r="R37" s="95"/>
      <c r="S37" s="29"/>
      <c r="T37" s="29"/>
    </row>
    <row r="38" spans="1:20" x14ac:dyDescent="0.25">
      <c r="A38" s="1"/>
      <c r="B38" s="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30"/>
      <c r="P38" s="31"/>
      <c r="Q38" s="32"/>
      <c r="R38" s="96"/>
      <c r="S38" s="32"/>
      <c r="T38" s="32"/>
    </row>
    <row r="39" spans="1:20" ht="15.75" x14ac:dyDescent="0.25">
      <c r="A39" s="106" t="s">
        <v>52</v>
      </c>
      <c r="B39" s="106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5"/>
      <c r="P39" s="33"/>
      <c r="Q39" s="34"/>
      <c r="R39" s="97"/>
      <c r="S39" s="34"/>
      <c r="T39" s="1"/>
    </row>
    <row r="40" spans="1:20" x14ac:dyDescent="0.25">
      <c r="A40" s="16">
        <v>20043539200000</v>
      </c>
      <c r="B40" s="1" t="s">
        <v>53</v>
      </c>
      <c r="C40" s="17"/>
      <c r="D40" s="2">
        <f>C40</f>
        <v>0</v>
      </c>
      <c r="E40" s="2">
        <f t="shared" ref="E40:N41" si="16">D40</f>
        <v>0</v>
      </c>
      <c r="F40" s="2">
        <f t="shared" si="16"/>
        <v>0</v>
      </c>
      <c r="G40" s="2">
        <f t="shared" si="16"/>
        <v>0</v>
      </c>
      <c r="H40" s="2">
        <f t="shared" si="16"/>
        <v>0</v>
      </c>
      <c r="I40" s="2">
        <f t="shared" si="16"/>
        <v>0</v>
      </c>
      <c r="J40" s="2">
        <f t="shared" si="16"/>
        <v>0</v>
      </c>
      <c r="K40" s="2">
        <f t="shared" si="16"/>
        <v>0</v>
      </c>
      <c r="L40" s="2">
        <f t="shared" si="16"/>
        <v>0</v>
      </c>
      <c r="M40" s="2">
        <f t="shared" si="16"/>
        <v>0</v>
      </c>
      <c r="N40" s="2">
        <f t="shared" si="16"/>
        <v>0</v>
      </c>
      <c r="O40" s="18">
        <f>SUM(C40:N40)</f>
        <v>0</v>
      </c>
      <c r="P40" s="19">
        <v>0</v>
      </c>
      <c r="Q40" s="20">
        <v>0</v>
      </c>
      <c r="R40" s="94">
        <f>(Q40/9)*12</f>
        <v>0</v>
      </c>
      <c r="S40" s="20">
        <v>0</v>
      </c>
      <c r="T40" s="21" t="e">
        <f t="shared" ref="T40:T59" si="17">(O40/P40)-1</f>
        <v>#DIV/0!</v>
      </c>
    </row>
    <row r="41" spans="1:20" x14ac:dyDescent="0.25">
      <c r="A41" s="16">
        <v>20046340260000</v>
      </c>
      <c r="B41" s="1" t="s">
        <v>54</v>
      </c>
      <c r="C41" s="17"/>
      <c r="D41" s="2">
        <f>C41</f>
        <v>0</v>
      </c>
      <c r="E41" s="2">
        <f t="shared" si="16"/>
        <v>0</v>
      </c>
      <c r="F41" s="2">
        <f t="shared" si="16"/>
        <v>0</v>
      </c>
      <c r="G41" s="2">
        <f t="shared" si="16"/>
        <v>0</v>
      </c>
      <c r="H41" s="2">
        <f t="shared" si="16"/>
        <v>0</v>
      </c>
      <c r="I41" s="2">
        <f t="shared" si="16"/>
        <v>0</v>
      </c>
      <c r="J41" s="2">
        <f t="shared" si="16"/>
        <v>0</v>
      </c>
      <c r="K41" s="2">
        <f t="shared" si="16"/>
        <v>0</v>
      </c>
      <c r="L41" s="2">
        <f t="shared" si="16"/>
        <v>0</v>
      </c>
      <c r="M41" s="2">
        <f t="shared" si="16"/>
        <v>0</v>
      </c>
      <c r="N41" s="2">
        <f t="shared" si="16"/>
        <v>0</v>
      </c>
      <c r="O41" s="18">
        <f t="shared" ref="O41:O59" si="18">SUM(C41:N41)</f>
        <v>0</v>
      </c>
      <c r="P41" s="19">
        <v>0</v>
      </c>
      <c r="Q41" s="20">
        <v>0</v>
      </c>
      <c r="R41" s="94">
        <f t="shared" ref="R41:R59" si="19">(Q41/9)*12</f>
        <v>0</v>
      </c>
      <c r="S41" s="20">
        <v>0</v>
      </c>
      <c r="T41" s="21" t="e">
        <f t="shared" si="17"/>
        <v>#DIV/0!</v>
      </c>
    </row>
    <row r="42" spans="1:20" x14ac:dyDescent="0.25">
      <c r="A42" s="16">
        <v>20046340460000</v>
      </c>
      <c r="B42" s="35" t="s">
        <v>55</v>
      </c>
      <c r="C42" s="22">
        <f>'Fuel Worksheet 2026'!B18*('Fuel Worksheet 2026'!B22+'Fuel Worksheet 2026'!B25)</f>
        <v>2616.4019999999996</v>
      </c>
      <c r="D42" s="22">
        <f>'Fuel Worksheet 2026'!C18*('Fuel Worksheet 2026'!C22+'Fuel Worksheet 2026'!C25)</f>
        <v>979.70999999999992</v>
      </c>
      <c r="E42" s="22">
        <f>'Fuel Worksheet 2026'!D18*('Fuel Worksheet 2026'!D22+'Fuel Worksheet 2026'!D25)</f>
        <v>3215.7539999999995</v>
      </c>
      <c r="F42" s="22">
        <f>'Fuel Worksheet 2026'!E18*('Fuel Worksheet 2026'!E22+'Fuel Worksheet 2026'!E25)</f>
        <v>5912.8379999999988</v>
      </c>
      <c r="G42" s="22">
        <f>'Fuel Worksheet 2026'!F18*('Fuel Worksheet 2026'!F22+'Fuel Worksheet 2026'!F25)</f>
        <v>7543.7669999999989</v>
      </c>
      <c r="H42" s="22">
        <f>'Fuel Worksheet 2026'!G18*('Fuel Worksheet 2026'!G22+'Fuel Worksheet 2026'!G25)</f>
        <v>6016.5719999999983</v>
      </c>
      <c r="I42" s="22">
        <f>'Fuel Worksheet 2026'!H18*('Fuel Worksheet 2026'!H22+'Fuel Worksheet 2026'!H25)</f>
        <v>16683.884999999998</v>
      </c>
      <c r="J42" s="22">
        <f>'Fuel Worksheet 2026'!I18*('Fuel Worksheet 2026'!I22+'Fuel Worksheet 2026'!I25)</f>
        <v>5999.2829999999994</v>
      </c>
      <c r="K42" s="22">
        <f>'Fuel Worksheet 2026'!J18*('Fuel Worksheet 2026'!J22+'Fuel Worksheet 2026'!J25)</f>
        <v>8644.4999999999982</v>
      </c>
      <c r="L42" s="22">
        <f>'Fuel Worksheet 2026'!K18*('Fuel Worksheet 2026'!K22+'Fuel Worksheet 2026'!K25)</f>
        <v>9768.2849999999962</v>
      </c>
      <c r="M42" s="22">
        <f>'Fuel Worksheet 2026'!L18*('Fuel Worksheet 2026'!L22+'Fuel Worksheet 2026'!L25)</f>
        <v>6512.1899999999987</v>
      </c>
      <c r="N42" s="22">
        <f>'Fuel Worksheet 2026'!M18*('Fuel Worksheet 2026'!M22+'Fuel Worksheet 2026'!M25)</f>
        <v>3256.0949999999993</v>
      </c>
      <c r="O42" s="18">
        <f t="shared" si="18"/>
        <v>77149.280999999988</v>
      </c>
      <c r="P42" s="19">
        <v>99038</v>
      </c>
      <c r="Q42" s="20">
        <v>49830</v>
      </c>
      <c r="R42" s="94">
        <f t="shared" si="19"/>
        <v>66440</v>
      </c>
      <c r="S42" s="20">
        <v>80490.86</v>
      </c>
      <c r="T42" s="21">
        <f t="shared" si="17"/>
        <v>-0.22101333831458647</v>
      </c>
    </row>
    <row r="43" spans="1:20" x14ac:dyDescent="0.25">
      <c r="A43" s="16">
        <v>20046340461000</v>
      </c>
      <c r="B43" s="35" t="s">
        <v>56</v>
      </c>
      <c r="C43" s="22">
        <f>'Fuel Worksheet 2026'!B19*('Fuel Worksheet 2026'!B23+'Fuel Worksheet 2026'!B26)</f>
        <v>610.41600000000005</v>
      </c>
      <c r="D43" s="22">
        <f>'Fuel Worksheet 2026'!C19*('Fuel Worksheet 2026'!C23+'Fuel Worksheet 2026'!C26)</f>
        <v>172.9512</v>
      </c>
      <c r="E43" s="22">
        <f>'Fuel Worksheet 2026'!D19*('Fuel Worksheet 2026'!D23+'Fuel Worksheet 2026'!D26)</f>
        <v>0</v>
      </c>
      <c r="F43" s="22">
        <f>'Fuel Worksheet 2026'!E19*('Fuel Worksheet 2026'!E23+'Fuel Worksheet 2026'!E26)</f>
        <v>3352.2012</v>
      </c>
      <c r="G43" s="22">
        <f>'Fuel Worksheet 2026'!F19*('Fuel Worksheet 2026'!F23+'Fuel Worksheet 2026'!F26)</f>
        <v>5539.525200000001</v>
      </c>
      <c r="H43" s="22">
        <f>'Fuel Worksheet 2026'!G19*('Fuel Worksheet 2026'!G23+'Fuel Worksheet 2026'!G26)</f>
        <v>5493.7440000000006</v>
      </c>
      <c r="I43" s="22">
        <f>'Fuel Worksheet 2026'!H19*('Fuel Worksheet 2026'!H23+'Fuel Worksheet 2026'!H26)</f>
        <v>2049.9803999999999</v>
      </c>
      <c r="J43" s="22">
        <f>'Fuel Worksheet 2026'!I19*('Fuel Worksheet 2026'!I23+'Fuel Worksheet 2026'!I26)</f>
        <v>1271.7</v>
      </c>
      <c r="K43" s="22">
        <f>'Fuel Worksheet 2026'!J19*('Fuel Worksheet 2026'!J23+'Fuel Worksheet 2026'!J26)</f>
        <v>0</v>
      </c>
      <c r="L43" s="22">
        <f>'Fuel Worksheet 2026'!K19*('Fuel Worksheet 2026'!K23+'Fuel Worksheet 2026'!K26)</f>
        <v>5493.7440000000006</v>
      </c>
      <c r="M43" s="22">
        <f>'Fuel Worksheet 2026'!L19*('Fuel Worksheet 2026'!L23+'Fuel Worksheet 2026'!L26)</f>
        <v>4944.3696000000009</v>
      </c>
      <c r="N43" s="22">
        <f>'Fuel Worksheet 2026'!M19*('Fuel Worksheet 2026'!M23+'Fuel Worksheet 2026'!M26)</f>
        <v>4120.308</v>
      </c>
      <c r="O43" s="18">
        <f t="shared" si="18"/>
        <v>33048.939600000005</v>
      </c>
      <c r="P43" s="19">
        <v>76984</v>
      </c>
      <c r="Q43" s="20">
        <v>16960</v>
      </c>
      <c r="R43" s="94">
        <f t="shared" si="19"/>
        <v>22613.333333333332</v>
      </c>
      <c r="S43" s="20">
        <v>93456.65</v>
      </c>
      <c r="T43" s="21">
        <f>(O43/P43)-1</f>
        <v>-0.57070378780006226</v>
      </c>
    </row>
    <row r="44" spans="1:20" x14ac:dyDescent="0.25">
      <c r="A44" s="16">
        <v>20046340462000</v>
      </c>
      <c r="B44" s="1" t="s">
        <v>57</v>
      </c>
      <c r="C44" s="17">
        <v>750</v>
      </c>
      <c r="D44" s="2">
        <f>C44</f>
        <v>750</v>
      </c>
      <c r="E44" s="2">
        <f t="shared" ref="E44:N44" si="20">D44</f>
        <v>750</v>
      </c>
      <c r="F44" s="2">
        <f t="shared" si="20"/>
        <v>750</v>
      </c>
      <c r="G44" s="2">
        <f t="shared" si="20"/>
        <v>750</v>
      </c>
      <c r="H44" s="2">
        <f t="shared" si="20"/>
        <v>750</v>
      </c>
      <c r="I44" s="2">
        <f t="shared" si="20"/>
        <v>750</v>
      </c>
      <c r="J44" s="2">
        <f t="shared" si="20"/>
        <v>750</v>
      </c>
      <c r="K44" s="2">
        <f t="shared" si="20"/>
        <v>750</v>
      </c>
      <c r="L44" s="2">
        <f t="shared" si="20"/>
        <v>750</v>
      </c>
      <c r="M44" s="2">
        <f t="shared" si="20"/>
        <v>750</v>
      </c>
      <c r="N44" s="2">
        <f t="shared" si="20"/>
        <v>750</v>
      </c>
      <c r="O44" s="18">
        <f t="shared" si="18"/>
        <v>9000</v>
      </c>
      <c r="P44" s="19">
        <v>9000</v>
      </c>
      <c r="Q44" s="20">
        <v>0</v>
      </c>
      <c r="R44" s="94">
        <f t="shared" si="19"/>
        <v>0</v>
      </c>
      <c r="S44" s="20">
        <v>0</v>
      </c>
      <c r="T44" s="21">
        <f t="shared" si="17"/>
        <v>0</v>
      </c>
    </row>
    <row r="45" spans="1:20" x14ac:dyDescent="0.25">
      <c r="A45" s="16">
        <v>20046340463000</v>
      </c>
      <c r="B45" s="1" t="s">
        <v>58</v>
      </c>
      <c r="C45" s="17"/>
      <c r="D45" s="2">
        <f t="shared" ref="D45:J45" si="21">C45</f>
        <v>0</v>
      </c>
      <c r="E45" s="2">
        <f t="shared" si="21"/>
        <v>0</v>
      </c>
      <c r="F45" s="2">
        <f t="shared" si="21"/>
        <v>0</v>
      </c>
      <c r="G45" s="2">
        <f t="shared" si="21"/>
        <v>0</v>
      </c>
      <c r="H45" s="2">
        <v>468</v>
      </c>
      <c r="I45" s="2">
        <v>0</v>
      </c>
      <c r="J45" s="2">
        <f t="shared" si="21"/>
        <v>0</v>
      </c>
      <c r="K45" s="2">
        <v>852</v>
      </c>
      <c r="L45" s="2">
        <v>0</v>
      </c>
      <c r="M45" s="2">
        <v>0</v>
      </c>
      <c r="N45" s="2">
        <f>1770+3300</f>
        <v>5070</v>
      </c>
      <c r="O45" s="18">
        <f t="shared" si="18"/>
        <v>6390</v>
      </c>
      <c r="P45" s="19">
        <v>6390</v>
      </c>
      <c r="Q45" s="20">
        <v>3090</v>
      </c>
      <c r="R45" s="94">
        <f t="shared" si="19"/>
        <v>4120</v>
      </c>
      <c r="S45" s="20">
        <v>4620</v>
      </c>
      <c r="T45" s="21">
        <f t="shared" si="17"/>
        <v>0</v>
      </c>
    </row>
    <row r="46" spans="1:20" x14ac:dyDescent="0.25">
      <c r="A46" s="16">
        <v>20046340464000</v>
      </c>
      <c r="B46" s="1" t="s">
        <v>59</v>
      </c>
      <c r="C46" s="22">
        <v>27420</v>
      </c>
      <c r="D46" s="22">
        <v>2340</v>
      </c>
      <c r="E46" s="22">
        <v>2340</v>
      </c>
      <c r="F46" s="22">
        <v>2340</v>
      </c>
      <c r="G46" s="22">
        <v>2340</v>
      </c>
      <c r="H46" s="22">
        <v>2340</v>
      </c>
      <c r="I46" s="22">
        <v>8880</v>
      </c>
      <c r="J46" s="22">
        <v>2340</v>
      </c>
      <c r="K46" s="22">
        <v>2340</v>
      </c>
      <c r="L46" s="22">
        <v>2340</v>
      </c>
      <c r="M46" s="22">
        <v>2340</v>
      </c>
      <c r="N46" s="22">
        <v>2340</v>
      </c>
      <c r="O46" s="18">
        <f t="shared" si="18"/>
        <v>59700</v>
      </c>
      <c r="P46" s="19">
        <v>65700</v>
      </c>
      <c r="Q46" s="20">
        <v>47866</v>
      </c>
      <c r="R46" s="94">
        <f>(Q46)+(2340*3)</f>
        <v>54886</v>
      </c>
      <c r="S46" s="20">
        <v>37344.160000000003</v>
      </c>
      <c r="T46" s="21">
        <f t="shared" si="17"/>
        <v>-9.1324200913242004E-2</v>
      </c>
    </row>
    <row r="47" spans="1:20" x14ac:dyDescent="0.25">
      <c r="A47" s="16">
        <v>20046340466000</v>
      </c>
      <c r="B47" s="1" t="s">
        <v>60</v>
      </c>
      <c r="C47" s="17">
        <v>750</v>
      </c>
      <c r="D47" s="2">
        <f t="shared" ref="D47:N48" si="22">C47</f>
        <v>750</v>
      </c>
      <c r="E47" s="2">
        <f t="shared" si="22"/>
        <v>750</v>
      </c>
      <c r="F47" s="2">
        <f t="shared" si="22"/>
        <v>750</v>
      </c>
      <c r="G47" s="2">
        <f t="shared" si="22"/>
        <v>750</v>
      </c>
      <c r="H47" s="2">
        <f t="shared" si="22"/>
        <v>750</v>
      </c>
      <c r="I47" s="2">
        <f t="shared" si="22"/>
        <v>750</v>
      </c>
      <c r="J47" s="2">
        <f t="shared" si="22"/>
        <v>750</v>
      </c>
      <c r="K47" s="2">
        <f t="shared" si="22"/>
        <v>750</v>
      </c>
      <c r="L47" s="2">
        <f t="shared" si="22"/>
        <v>750</v>
      </c>
      <c r="M47" s="2">
        <f t="shared" si="22"/>
        <v>750</v>
      </c>
      <c r="N47" s="2">
        <f t="shared" si="22"/>
        <v>750</v>
      </c>
      <c r="O47" s="18">
        <f t="shared" si="18"/>
        <v>9000</v>
      </c>
      <c r="P47" s="19">
        <v>6000</v>
      </c>
      <c r="Q47" s="20">
        <v>9539</v>
      </c>
      <c r="R47" s="94">
        <f t="shared" si="19"/>
        <v>12718.666666666668</v>
      </c>
      <c r="S47" s="20">
        <v>7942.67</v>
      </c>
      <c r="T47" s="21">
        <f t="shared" si="17"/>
        <v>0.5</v>
      </c>
    </row>
    <row r="48" spans="1:20" x14ac:dyDescent="0.25">
      <c r="A48" s="16">
        <v>20046340467000</v>
      </c>
      <c r="B48" s="1" t="s">
        <v>61</v>
      </c>
      <c r="C48" s="17">
        <v>500</v>
      </c>
      <c r="D48" s="2">
        <f t="shared" si="22"/>
        <v>500</v>
      </c>
      <c r="E48" s="2">
        <f t="shared" si="22"/>
        <v>500</v>
      </c>
      <c r="F48" s="2">
        <f t="shared" si="22"/>
        <v>500</v>
      </c>
      <c r="G48" s="2">
        <f t="shared" si="22"/>
        <v>500</v>
      </c>
      <c r="H48" s="2">
        <f t="shared" si="22"/>
        <v>500</v>
      </c>
      <c r="I48" s="2">
        <f t="shared" si="22"/>
        <v>500</v>
      </c>
      <c r="J48" s="2">
        <f t="shared" si="22"/>
        <v>500</v>
      </c>
      <c r="K48" s="2">
        <f t="shared" si="22"/>
        <v>500</v>
      </c>
      <c r="L48" s="2">
        <f t="shared" si="22"/>
        <v>500</v>
      </c>
      <c r="M48" s="2">
        <f t="shared" si="22"/>
        <v>500</v>
      </c>
      <c r="N48" s="2">
        <f t="shared" si="22"/>
        <v>500</v>
      </c>
      <c r="O48" s="18">
        <f t="shared" si="18"/>
        <v>6000</v>
      </c>
      <c r="P48" s="19">
        <v>4200</v>
      </c>
      <c r="Q48" s="20">
        <v>4538</v>
      </c>
      <c r="R48" s="94">
        <f t="shared" si="19"/>
        <v>6050.666666666667</v>
      </c>
      <c r="S48" s="20">
        <v>5824.9</v>
      </c>
      <c r="T48" s="21">
        <f t="shared" si="17"/>
        <v>0.4285714285714286</v>
      </c>
    </row>
    <row r="49" spans="1:20" x14ac:dyDescent="0.25">
      <c r="A49" s="16">
        <v>20046340468000</v>
      </c>
      <c r="B49" s="1" t="s">
        <v>62</v>
      </c>
      <c r="C49" s="17"/>
      <c r="D49" s="2">
        <v>30166.66</v>
      </c>
      <c r="E49" s="2"/>
      <c r="F49" s="2"/>
      <c r="G49" s="2"/>
      <c r="H49" s="2"/>
      <c r="I49" s="2">
        <f>D49</f>
        <v>30166.66</v>
      </c>
      <c r="J49" s="2"/>
      <c r="K49" s="2"/>
      <c r="L49" s="2"/>
      <c r="M49" s="2"/>
      <c r="N49" s="2">
        <f>I49</f>
        <v>30166.66</v>
      </c>
      <c r="O49" s="18">
        <f t="shared" si="18"/>
        <v>90499.98</v>
      </c>
      <c r="P49" s="19">
        <v>90500</v>
      </c>
      <c r="Q49" s="20">
        <v>63586</v>
      </c>
      <c r="R49" s="94">
        <f t="shared" si="19"/>
        <v>84781.333333333343</v>
      </c>
      <c r="S49" s="20">
        <v>58843.31</v>
      </c>
      <c r="T49" s="21">
        <f t="shared" si="17"/>
        <v>-2.2099447516410464E-7</v>
      </c>
    </row>
    <row r="50" spans="1:20" x14ac:dyDescent="0.25">
      <c r="A50" s="16">
        <v>20046340470000</v>
      </c>
      <c r="B50" s="1" t="s">
        <v>63</v>
      </c>
      <c r="C50" s="17">
        <f>10440/2</f>
        <v>5220</v>
      </c>
      <c r="D50" s="2">
        <v>0</v>
      </c>
      <c r="E50" s="2">
        <f t="shared" ref="E50:N51" si="23">D50</f>
        <v>0</v>
      </c>
      <c r="F50" s="2">
        <f t="shared" si="23"/>
        <v>0</v>
      </c>
      <c r="G50" s="2">
        <f t="shared" si="23"/>
        <v>0</v>
      </c>
      <c r="H50" s="2">
        <f t="shared" si="23"/>
        <v>0</v>
      </c>
      <c r="I50" s="17">
        <f>10440/2</f>
        <v>5220</v>
      </c>
      <c r="J50" s="2">
        <v>0</v>
      </c>
      <c r="K50" s="2">
        <f t="shared" si="23"/>
        <v>0</v>
      </c>
      <c r="L50" s="2">
        <f t="shared" si="23"/>
        <v>0</v>
      </c>
      <c r="M50" s="2">
        <f t="shared" si="23"/>
        <v>0</v>
      </c>
      <c r="N50" s="2">
        <f t="shared" si="23"/>
        <v>0</v>
      </c>
      <c r="O50" s="18">
        <f t="shared" si="18"/>
        <v>10440</v>
      </c>
      <c r="P50" s="19">
        <v>10440</v>
      </c>
      <c r="Q50" s="20">
        <v>5785</v>
      </c>
      <c r="R50" s="94">
        <f t="shared" si="19"/>
        <v>7713.3333333333339</v>
      </c>
      <c r="S50" s="20">
        <v>5900</v>
      </c>
      <c r="T50" s="21">
        <f t="shared" si="17"/>
        <v>0</v>
      </c>
    </row>
    <row r="51" spans="1:20" x14ac:dyDescent="0.25">
      <c r="A51" s="16">
        <v>20046340471000</v>
      </c>
      <c r="B51" s="1" t="s">
        <v>64</v>
      </c>
      <c r="C51" s="17">
        <f>1272/2</f>
        <v>636</v>
      </c>
      <c r="D51" s="2">
        <v>0</v>
      </c>
      <c r="E51" s="2">
        <f t="shared" si="23"/>
        <v>0</v>
      </c>
      <c r="F51" s="2">
        <f t="shared" si="23"/>
        <v>0</v>
      </c>
      <c r="G51" s="2">
        <f t="shared" si="23"/>
        <v>0</v>
      </c>
      <c r="H51" s="2">
        <f t="shared" si="23"/>
        <v>0</v>
      </c>
      <c r="I51" s="17">
        <f>1272/2</f>
        <v>636</v>
      </c>
      <c r="J51" s="2">
        <v>0</v>
      </c>
      <c r="K51" s="2">
        <f t="shared" si="23"/>
        <v>0</v>
      </c>
      <c r="L51" s="2">
        <f t="shared" si="23"/>
        <v>0</v>
      </c>
      <c r="M51" s="2">
        <f t="shared" si="23"/>
        <v>0</v>
      </c>
      <c r="N51" s="2">
        <f t="shared" si="23"/>
        <v>0</v>
      </c>
      <c r="O51" s="18">
        <f t="shared" si="18"/>
        <v>1272</v>
      </c>
      <c r="P51" s="19">
        <v>1272</v>
      </c>
      <c r="Q51" s="20">
        <v>715</v>
      </c>
      <c r="R51" s="94">
        <f t="shared" si="19"/>
        <v>953.33333333333326</v>
      </c>
      <c r="S51" s="20">
        <v>5900</v>
      </c>
      <c r="T51" s="21">
        <f t="shared" si="17"/>
        <v>0</v>
      </c>
    </row>
    <row r="52" spans="1:20" x14ac:dyDescent="0.25">
      <c r="A52" s="16">
        <v>20046340472000</v>
      </c>
      <c r="B52" s="1" t="s">
        <v>65</v>
      </c>
      <c r="C52" s="17"/>
      <c r="D52" s="2">
        <f t="shared" ref="D52:N59" si="24">C52</f>
        <v>0</v>
      </c>
      <c r="E52" s="2">
        <f t="shared" si="24"/>
        <v>0</v>
      </c>
      <c r="F52" s="2">
        <f t="shared" si="24"/>
        <v>0</v>
      </c>
      <c r="G52" s="2">
        <f t="shared" si="24"/>
        <v>0</v>
      </c>
      <c r="H52" s="2">
        <f t="shared" si="24"/>
        <v>0</v>
      </c>
      <c r="I52" s="2">
        <f t="shared" si="24"/>
        <v>0</v>
      </c>
      <c r="J52" s="2">
        <f t="shared" si="24"/>
        <v>0</v>
      </c>
      <c r="K52" s="2">
        <f t="shared" si="24"/>
        <v>0</v>
      </c>
      <c r="L52" s="2">
        <f t="shared" si="24"/>
        <v>0</v>
      </c>
      <c r="M52" s="2">
        <f t="shared" si="24"/>
        <v>0</v>
      </c>
      <c r="N52" s="2">
        <f t="shared" si="24"/>
        <v>0</v>
      </c>
      <c r="O52" s="18">
        <f t="shared" si="18"/>
        <v>0</v>
      </c>
      <c r="P52" s="19">
        <v>0</v>
      </c>
      <c r="Q52" s="20">
        <v>0</v>
      </c>
      <c r="R52" s="94">
        <f t="shared" si="19"/>
        <v>0</v>
      </c>
      <c r="S52" s="20">
        <v>400</v>
      </c>
      <c r="T52" s="21" t="e">
        <f t="shared" si="17"/>
        <v>#DIV/0!</v>
      </c>
    </row>
    <row r="53" spans="1:20" x14ac:dyDescent="0.25">
      <c r="A53" s="16">
        <v>20046340473000</v>
      </c>
      <c r="B53" s="1" t="s">
        <v>66</v>
      </c>
      <c r="C53" s="17"/>
      <c r="D53" s="2">
        <f t="shared" si="24"/>
        <v>0</v>
      </c>
      <c r="E53" s="2">
        <f t="shared" si="24"/>
        <v>0</v>
      </c>
      <c r="F53" s="2">
        <f t="shared" si="24"/>
        <v>0</v>
      </c>
      <c r="G53" s="2">
        <f t="shared" si="24"/>
        <v>0</v>
      </c>
      <c r="H53" s="2">
        <f t="shared" si="24"/>
        <v>0</v>
      </c>
      <c r="I53" s="2">
        <f t="shared" si="24"/>
        <v>0</v>
      </c>
      <c r="J53" s="2">
        <f t="shared" si="24"/>
        <v>0</v>
      </c>
      <c r="K53" s="2">
        <f t="shared" si="24"/>
        <v>0</v>
      </c>
      <c r="L53" s="2">
        <f t="shared" si="24"/>
        <v>0</v>
      </c>
      <c r="M53" s="2">
        <f t="shared" si="24"/>
        <v>0</v>
      </c>
      <c r="N53" s="2">
        <f t="shared" si="24"/>
        <v>0</v>
      </c>
      <c r="O53" s="18">
        <f t="shared" si="18"/>
        <v>0</v>
      </c>
      <c r="P53" s="19">
        <v>0</v>
      </c>
      <c r="Q53" s="20">
        <v>0</v>
      </c>
      <c r="R53" s="94">
        <f t="shared" si="19"/>
        <v>0</v>
      </c>
      <c r="S53" s="20">
        <v>0</v>
      </c>
      <c r="T53" s="21" t="e">
        <f t="shared" si="17"/>
        <v>#DIV/0!</v>
      </c>
    </row>
    <row r="54" spans="1:20" x14ac:dyDescent="0.25">
      <c r="A54" s="16">
        <v>20046340475000</v>
      </c>
      <c r="B54" s="1" t="s">
        <v>67</v>
      </c>
      <c r="C54" s="17"/>
      <c r="D54" s="2">
        <f t="shared" si="24"/>
        <v>0</v>
      </c>
      <c r="E54" s="2">
        <f t="shared" si="24"/>
        <v>0</v>
      </c>
      <c r="F54" s="2">
        <f t="shared" si="24"/>
        <v>0</v>
      </c>
      <c r="G54" s="2">
        <f t="shared" si="24"/>
        <v>0</v>
      </c>
      <c r="H54" s="2">
        <f t="shared" si="24"/>
        <v>0</v>
      </c>
      <c r="I54" s="2">
        <f t="shared" si="24"/>
        <v>0</v>
      </c>
      <c r="J54" s="2">
        <f t="shared" si="24"/>
        <v>0</v>
      </c>
      <c r="K54" s="2">
        <f t="shared" si="24"/>
        <v>0</v>
      </c>
      <c r="L54" s="2">
        <f t="shared" si="24"/>
        <v>0</v>
      </c>
      <c r="M54" s="2">
        <f t="shared" si="24"/>
        <v>0</v>
      </c>
      <c r="N54" s="2">
        <f t="shared" si="24"/>
        <v>0</v>
      </c>
      <c r="O54" s="18">
        <f t="shared" si="18"/>
        <v>0</v>
      </c>
      <c r="P54" s="19">
        <v>0</v>
      </c>
      <c r="Q54" s="20">
        <v>0</v>
      </c>
      <c r="R54" s="94">
        <f t="shared" si="19"/>
        <v>0</v>
      </c>
      <c r="S54" s="20">
        <v>0</v>
      </c>
      <c r="T54" s="21" t="e">
        <f t="shared" si="17"/>
        <v>#DIV/0!</v>
      </c>
    </row>
    <row r="55" spans="1:20" x14ac:dyDescent="0.25">
      <c r="A55" s="16">
        <v>20046340479000</v>
      </c>
      <c r="B55" s="1" t="s">
        <v>68</v>
      </c>
      <c r="C55" s="17"/>
      <c r="D55" s="2">
        <f t="shared" si="24"/>
        <v>0</v>
      </c>
      <c r="E55" s="2">
        <f t="shared" si="24"/>
        <v>0</v>
      </c>
      <c r="F55" s="2">
        <f t="shared" si="24"/>
        <v>0</v>
      </c>
      <c r="G55" s="2">
        <f t="shared" si="24"/>
        <v>0</v>
      </c>
      <c r="H55" s="2">
        <f t="shared" si="24"/>
        <v>0</v>
      </c>
      <c r="I55" s="2">
        <f t="shared" si="24"/>
        <v>0</v>
      </c>
      <c r="J55" s="2">
        <f t="shared" si="24"/>
        <v>0</v>
      </c>
      <c r="K55" s="2">
        <f t="shared" si="24"/>
        <v>0</v>
      </c>
      <c r="L55" s="2">
        <f t="shared" si="24"/>
        <v>0</v>
      </c>
      <c r="M55" s="2">
        <f t="shared" si="24"/>
        <v>0</v>
      </c>
      <c r="N55" s="2">
        <f t="shared" si="24"/>
        <v>0</v>
      </c>
      <c r="O55" s="18">
        <f t="shared" si="18"/>
        <v>0</v>
      </c>
      <c r="P55" s="19">
        <v>0</v>
      </c>
      <c r="Q55" s="20"/>
      <c r="R55" s="94">
        <f t="shared" si="19"/>
        <v>0</v>
      </c>
      <c r="S55" s="20">
        <v>4380</v>
      </c>
      <c r="T55" s="21" t="e">
        <f t="shared" si="17"/>
        <v>#DIV/0!</v>
      </c>
    </row>
    <row r="56" spans="1:20" x14ac:dyDescent="0.25">
      <c r="A56" s="16">
        <v>20046340480000</v>
      </c>
      <c r="B56" s="1" t="s">
        <v>69</v>
      </c>
      <c r="C56" s="17">
        <v>300</v>
      </c>
      <c r="D56" s="2">
        <f t="shared" si="24"/>
        <v>300</v>
      </c>
      <c r="E56" s="2">
        <f t="shared" si="24"/>
        <v>300</v>
      </c>
      <c r="F56" s="2">
        <f t="shared" si="24"/>
        <v>300</v>
      </c>
      <c r="G56" s="2">
        <f t="shared" si="24"/>
        <v>300</v>
      </c>
      <c r="H56" s="2">
        <f t="shared" si="24"/>
        <v>300</v>
      </c>
      <c r="I56" s="2">
        <f t="shared" si="24"/>
        <v>300</v>
      </c>
      <c r="J56" s="2">
        <f t="shared" si="24"/>
        <v>300</v>
      </c>
      <c r="K56" s="2">
        <f t="shared" si="24"/>
        <v>300</v>
      </c>
      <c r="L56" s="2">
        <f t="shared" si="24"/>
        <v>300</v>
      </c>
      <c r="M56" s="2">
        <f t="shared" si="24"/>
        <v>300</v>
      </c>
      <c r="N56" s="2">
        <f t="shared" si="24"/>
        <v>300</v>
      </c>
      <c r="O56" s="18">
        <f t="shared" si="18"/>
        <v>3600</v>
      </c>
      <c r="P56" s="19">
        <v>3600</v>
      </c>
      <c r="Q56" s="20">
        <v>900</v>
      </c>
      <c r="R56" s="94">
        <f t="shared" si="19"/>
        <v>1200</v>
      </c>
      <c r="S56" s="20">
        <v>762</v>
      </c>
      <c r="T56" s="21">
        <f t="shared" si="17"/>
        <v>0</v>
      </c>
    </row>
    <row r="57" spans="1:20" x14ac:dyDescent="0.25">
      <c r="A57" s="16">
        <v>20046340485000</v>
      </c>
      <c r="B57" s="1" t="s">
        <v>70</v>
      </c>
      <c r="C57" s="17"/>
      <c r="D57" s="2">
        <f t="shared" si="24"/>
        <v>0</v>
      </c>
      <c r="E57" s="2">
        <f t="shared" si="24"/>
        <v>0</v>
      </c>
      <c r="F57" s="2">
        <f t="shared" si="24"/>
        <v>0</v>
      </c>
      <c r="G57" s="2">
        <f t="shared" si="24"/>
        <v>0</v>
      </c>
      <c r="H57" s="2">
        <f t="shared" si="24"/>
        <v>0</v>
      </c>
      <c r="I57" s="2">
        <f t="shared" si="24"/>
        <v>0</v>
      </c>
      <c r="J57" s="2">
        <f t="shared" si="24"/>
        <v>0</v>
      </c>
      <c r="K57" s="2">
        <f t="shared" si="24"/>
        <v>0</v>
      </c>
      <c r="L57" s="2">
        <f t="shared" si="24"/>
        <v>0</v>
      </c>
      <c r="M57" s="2">
        <f t="shared" si="24"/>
        <v>0</v>
      </c>
      <c r="N57" s="2">
        <f t="shared" si="24"/>
        <v>0</v>
      </c>
      <c r="O57" s="18">
        <f t="shared" si="18"/>
        <v>0</v>
      </c>
      <c r="P57" s="19">
        <v>0</v>
      </c>
      <c r="Q57" s="20">
        <v>0</v>
      </c>
      <c r="R57" s="94">
        <f t="shared" si="19"/>
        <v>0</v>
      </c>
      <c r="S57" s="20">
        <v>15000</v>
      </c>
      <c r="T57" s="21" t="e">
        <f t="shared" si="17"/>
        <v>#DIV/0!</v>
      </c>
    </row>
    <row r="58" spans="1:20" x14ac:dyDescent="0.25">
      <c r="A58" s="16">
        <v>20046340679000</v>
      </c>
      <c r="B58" s="1" t="s">
        <v>71</v>
      </c>
      <c r="C58" s="17"/>
      <c r="D58" s="2">
        <f t="shared" si="24"/>
        <v>0</v>
      </c>
      <c r="E58" s="2">
        <f t="shared" si="24"/>
        <v>0</v>
      </c>
      <c r="F58" s="2">
        <f t="shared" si="24"/>
        <v>0</v>
      </c>
      <c r="G58" s="2">
        <f t="shared" si="24"/>
        <v>0</v>
      </c>
      <c r="H58" s="2">
        <f t="shared" si="24"/>
        <v>0</v>
      </c>
      <c r="I58" s="2">
        <f t="shared" si="24"/>
        <v>0</v>
      </c>
      <c r="J58" s="2">
        <f t="shared" si="24"/>
        <v>0</v>
      </c>
      <c r="K58" s="2">
        <f t="shared" si="24"/>
        <v>0</v>
      </c>
      <c r="L58" s="2">
        <f t="shared" si="24"/>
        <v>0</v>
      </c>
      <c r="M58" s="2">
        <f t="shared" si="24"/>
        <v>0</v>
      </c>
      <c r="N58" s="2">
        <f t="shared" si="24"/>
        <v>0</v>
      </c>
      <c r="O58" s="18">
        <f t="shared" si="18"/>
        <v>0</v>
      </c>
      <c r="P58" s="19">
        <v>0</v>
      </c>
      <c r="Q58" s="20"/>
      <c r="R58" s="94">
        <f t="shared" si="19"/>
        <v>0</v>
      </c>
      <c r="S58" s="20">
        <v>0</v>
      </c>
      <c r="T58" s="21" t="e">
        <f t="shared" si="17"/>
        <v>#DIV/0!</v>
      </c>
    </row>
    <row r="59" spans="1:20" x14ac:dyDescent="0.25">
      <c r="A59" s="16">
        <v>20046750675000</v>
      </c>
      <c r="B59" s="1" t="s">
        <v>72</v>
      </c>
      <c r="C59" s="17"/>
      <c r="D59" s="2">
        <f t="shared" si="24"/>
        <v>0</v>
      </c>
      <c r="E59" s="2">
        <f t="shared" si="24"/>
        <v>0</v>
      </c>
      <c r="F59" s="2">
        <f t="shared" si="24"/>
        <v>0</v>
      </c>
      <c r="G59" s="2">
        <f t="shared" si="24"/>
        <v>0</v>
      </c>
      <c r="H59" s="2">
        <f t="shared" si="24"/>
        <v>0</v>
      </c>
      <c r="I59" s="2">
        <f t="shared" si="24"/>
        <v>0</v>
      </c>
      <c r="J59" s="2">
        <f t="shared" si="24"/>
        <v>0</v>
      </c>
      <c r="K59" s="2">
        <f t="shared" si="24"/>
        <v>0</v>
      </c>
      <c r="L59" s="2">
        <f t="shared" si="24"/>
        <v>0</v>
      </c>
      <c r="M59" s="2">
        <f t="shared" si="24"/>
        <v>0</v>
      </c>
      <c r="N59" s="2">
        <f t="shared" si="24"/>
        <v>0</v>
      </c>
      <c r="O59" s="18">
        <f t="shared" si="18"/>
        <v>0</v>
      </c>
      <c r="P59" s="19">
        <v>0</v>
      </c>
      <c r="Q59" s="20">
        <v>214</v>
      </c>
      <c r="R59" s="94">
        <f t="shared" si="19"/>
        <v>285.33333333333337</v>
      </c>
      <c r="S59" s="20">
        <v>446.48</v>
      </c>
      <c r="T59" s="21" t="e">
        <f t="shared" si="17"/>
        <v>#DIV/0!</v>
      </c>
    </row>
    <row r="60" spans="1:20" x14ac:dyDescent="0.25">
      <c r="A60" s="1"/>
      <c r="B60" s="25" t="s">
        <v>73</v>
      </c>
      <c r="C60" s="26">
        <f>SUM(C40:C59)</f>
        <v>38802.817999999999</v>
      </c>
      <c r="D60" s="26">
        <f>SUM(D40:D59)</f>
        <v>35959.321199999998</v>
      </c>
      <c r="E60" s="26">
        <f>SUM(E40:E59)</f>
        <v>7855.753999999999</v>
      </c>
      <c r="F60" s="26">
        <f t="shared" ref="F60:N60" si="25">SUM(F40:F59)</f>
        <v>13905.039199999999</v>
      </c>
      <c r="G60" s="26">
        <f t="shared" si="25"/>
        <v>17723.2922</v>
      </c>
      <c r="H60" s="26">
        <f t="shared" si="25"/>
        <v>16618.315999999999</v>
      </c>
      <c r="I60" s="26">
        <f t="shared" si="25"/>
        <v>65936.525399999999</v>
      </c>
      <c r="J60" s="26">
        <f t="shared" si="25"/>
        <v>11910.983</v>
      </c>
      <c r="K60" s="26">
        <f t="shared" si="25"/>
        <v>14136.499999999998</v>
      </c>
      <c r="L60" s="26">
        <f t="shared" si="25"/>
        <v>19902.028999999995</v>
      </c>
      <c r="M60" s="26">
        <f t="shared" si="25"/>
        <v>16096.559600000001</v>
      </c>
      <c r="N60" s="26">
        <f t="shared" si="25"/>
        <v>47253.062999999995</v>
      </c>
      <c r="O60" s="36">
        <f>SUM(O40:O59)</f>
        <v>306100.20059999998</v>
      </c>
      <c r="P60" s="37">
        <f>SUM(P40:P59)</f>
        <v>373124</v>
      </c>
      <c r="Q60" s="38">
        <f>SUM(Q40:Q59)</f>
        <v>203023</v>
      </c>
      <c r="R60" s="98">
        <f>SUM(R40:R59)</f>
        <v>261762</v>
      </c>
      <c r="S60" s="38">
        <v>322906.71999999997</v>
      </c>
      <c r="T60" s="39"/>
    </row>
    <row r="61" spans="1:20" x14ac:dyDescent="0.25">
      <c r="A61" s="1"/>
      <c r="B61" s="1"/>
      <c r="C61" s="2">
        <f>C60</f>
        <v>38802.817999999999</v>
      </c>
      <c r="D61" s="2">
        <f>C61+D60</f>
        <v>74762.139200000005</v>
      </c>
      <c r="E61" s="2">
        <f t="shared" ref="E61:N61" si="26">D61+E60</f>
        <v>82617.893200000006</v>
      </c>
      <c r="F61" s="2">
        <f t="shared" si="26"/>
        <v>96522.932400000005</v>
      </c>
      <c r="G61" s="2">
        <f t="shared" si="26"/>
        <v>114246.2246</v>
      </c>
      <c r="H61" s="2">
        <f t="shared" si="26"/>
        <v>130864.54060000001</v>
      </c>
      <c r="I61" s="2">
        <f t="shared" si="26"/>
        <v>196801.06599999999</v>
      </c>
      <c r="J61" s="2">
        <f t="shared" si="26"/>
        <v>208712.049</v>
      </c>
      <c r="K61" s="2">
        <f t="shared" si="26"/>
        <v>222848.549</v>
      </c>
      <c r="L61" s="2">
        <f t="shared" si="26"/>
        <v>242750.57799999998</v>
      </c>
      <c r="M61" s="2">
        <f t="shared" si="26"/>
        <v>258847.13759999999</v>
      </c>
      <c r="N61" s="2">
        <f t="shared" si="26"/>
        <v>306100.20059999998</v>
      </c>
      <c r="O61" s="40"/>
      <c r="P61" s="41"/>
      <c r="Q61" s="2"/>
      <c r="R61" s="99"/>
      <c r="S61" s="2"/>
      <c r="T61" s="42"/>
    </row>
    <row r="62" spans="1:20" x14ac:dyDescent="0.25">
      <c r="A62" s="1"/>
      <c r="B62" s="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40"/>
      <c r="P62" s="41"/>
      <c r="Q62" s="2"/>
      <c r="R62" s="99"/>
      <c r="S62" s="2"/>
      <c r="T62" s="42"/>
    </row>
    <row r="63" spans="1:20" x14ac:dyDescent="0.25">
      <c r="A63" s="1"/>
      <c r="B63" s="25" t="s">
        <v>74</v>
      </c>
      <c r="C63" s="105">
        <f t="shared" ref="C63:N63" si="27">C60-C36</f>
        <v>19402.896549999998</v>
      </c>
      <c r="D63" s="105">
        <f t="shared" si="27"/>
        <v>18273.308469999996</v>
      </c>
      <c r="E63" s="105">
        <f t="shared" si="27"/>
        <v>-11627.334850000001</v>
      </c>
      <c r="F63" s="105">
        <f t="shared" si="27"/>
        <v>-10261.472980000002</v>
      </c>
      <c r="G63" s="105">
        <f t="shared" si="27"/>
        <v>-9388.5078050000011</v>
      </c>
      <c r="H63" s="105">
        <f t="shared" si="27"/>
        <v>-11640.295900000005</v>
      </c>
      <c r="I63" s="105">
        <f t="shared" si="27"/>
        <v>33444.920864999993</v>
      </c>
      <c r="J63" s="105">
        <f t="shared" si="27"/>
        <v>-10859.794074999998</v>
      </c>
      <c r="K63" s="105">
        <f t="shared" si="27"/>
        <v>-10006.262499999999</v>
      </c>
      <c r="L63" s="105">
        <f t="shared" si="27"/>
        <v>-9086.8032250000033</v>
      </c>
      <c r="M63" s="105">
        <f t="shared" si="27"/>
        <v>-9709.308990000005</v>
      </c>
      <c r="N63" s="105">
        <f t="shared" si="27"/>
        <v>24824.232424999995</v>
      </c>
      <c r="O63" s="104">
        <f>+O60-O36</f>
        <v>13365.577984999982</v>
      </c>
      <c r="P63" s="41">
        <f>+P60-P36</f>
        <v>-2989</v>
      </c>
      <c r="Q63" s="2">
        <f>+Q60-Q36</f>
        <v>16102</v>
      </c>
      <c r="R63" s="99">
        <f>+R60-R36</f>
        <v>12533.999999999971</v>
      </c>
      <c r="S63" s="2">
        <f>+S60-S36</f>
        <v>-63637.530000000028</v>
      </c>
      <c r="T63" s="42"/>
    </row>
  </sheetData>
  <mergeCells count="1">
    <mergeCell ref="A39:B39"/>
  </mergeCells>
  <conditionalFormatting sqref="T5:T35 T40:T59">
    <cfRule type="containsErrors" dxfId="6" priority="1">
      <formula>ISERROR(T5)</formula>
    </cfRule>
    <cfRule type="cellIs" dxfId="5" priority="2" stopIfTrue="1" operator="lessThan">
      <formula>0</formula>
    </cfRule>
    <cfRule type="cellIs" dxfId="4" priority="3" stopIfTrue="1" operator="greaterThan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16312-2DCF-4A61-AF33-8221A03AE355}">
  <sheetPr codeName="Sheet4"/>
  <dimension ref="A1:R74"/>
  <sheetViews>
    <sheetView view="pageBreakPreview" zoomScale="90" zoomScaleNormal="90" zoomScaleSheetLayoutView="90" workbookViewId="0">
      <pane ySplit="3" topLeftCell="A4" activePane="bottomLeft" state="frozen"/>
      <selection activeCell="J1" sqref="J1:M1048576"/>
      <selection pane="bottomLeft" activeCell="F1" sqref="F1:G1048576"/>
    </sheetView>
  </sheetViews>
  <sheetFormatPr defaultColWidth="9.140625" defaultRowHeight="15" x14ac:dyDescent="0.25"/>
  <cols>
    <col min="1" max="1" width="18.7109375" style="1" customWidth="1"/>
    <col min="2" max="2" width="31.42578125" style="1" customWidth="1"/>
    <col min="3" max="3" width="11.85546875" style="1" customWidth="1"/>
    <col min="4" max="4" width="11.85546875" style="1" bestFit="1" customWidth="1"/>
    <col min="5" max="5" width="11.85546875" style="35" bestFit="1" customWidth="1"/>
    <col min="6" max="6" width="11.85546875" style="1" bestFit="1" customWidth="1"/>
    <col min="7" max="8" width="12" style="1" customWidth="1"/>
    <col min="9" max="9" width="9.42578125" style="1" customWidth="1"/>
    <col min="10" max="10" width="12.85546875" style="35" hidden="1" customWidth="1"/>
    <col min="11" max="11" width="10.42578125" style="1" hidden="1" customWidth="1"/>
    <col min="12" max="12" width="11.85546875" style="1" hidden="1" customWidth="1"/>
    <col min="13" max="13" width="9.7109375" style="1" hidden="1" customWidth="1"/>
    <col min="14" max="17" width="9.140625" style="1"/>
    <col min="18" max="18" width="13.85546875" style="1" bestFit="1" customWidth="1"/>
    <col min="19" max="16384" width="9.140625" style="1"/>
  </cols>
  <sheetData>
    <row r="1" spans="1:16" x14ac:dyDescent="0.25">
      <c r="C1" s="3">
        <v>45291</v>
      </c>
      <c r="D1" s="3">
        <v>45657</v>
      </c>
      <c r="E1" s="4">
        <v>46022</v>
      </c>
      <c r="F1" s="3">
        <v>45838</v>
      </c>
      <c r="G1" s="3">
        <v>46022</v>
      </c>
      <c r="H1" s="3">
        <v>46387</v>
      </c>
      <c r="J1" s="57">
        <f>H1</f>
        <v>46387</v>
      </c>
      <c r="L1" s="3">
        <f>+J1</f>
        <v>46387</v>
      </c>
      <c r="P1" s="58"/>
    </row>
    <row r="2" spans="1:16" x14ac:dyDescent="0.25">
      <c r="C2" s="7">
        <v>2023</v>
      </c>
      <c r="D2" s="7">
        <v>2024</v>
      </c>
      <c r="E2" s="6">
        <v>2025</v>
      </c>
      <c r="F2" s="7">
        <v>2025</v>
      </c>
      <c r="G2" s="7">
        <v>2025</v>
      </c>
      <c r="H2" s="5">
        <v>2026</v>
      </c>
      <c r="I2" s="7" t="s">
        <v>0</v>
      </c>
      <c r="J2" s="59">
        <f>H2</f>
        <v>2026</v>
      </c>
      <c r="K2" s="7" t="str">
        <f>I2</f>
        <v>2024-25</v>
      </c>
      <c r="L2" s="60">
        <f>H2</f>
        <v>2026</v>
      </c>
      <c r="M2" s="7" t="str">
        <f>I2</f>
        <v>2024-25</v>
      </c>
      <c r="P2" s="58"/>
    </row>
    <row r="3" spans="1:16" ht="30.75" customHeight="1" x14ac:dyDescent="0.25">
      <c r="A3" s="8" t="s">
        <v>1</v>
      </c>
      <c r="B3" s="8" t="s">
        <v>2</v>
      </c>
      <c r="C3" s="8" t="s">
        <v>18</v>
      </c>
      <c r="D3" s="8" t="s">
        <v>18</v>
      </c>
      <c r="E3" s="11" t="s">
        <v>16</v>
      </c>
      <c r="F3" s="12" t="s">
        <v>17</v>
      </c>
      <c r="G3" s="12" t="s">
        <v>87</v>
      </c>
      <c r="H3" s="10" t="s">
        <v>15</v>
      </c>
      <c r="I3" s="12" t="s">
        <v>19</v>
      </c>
      <c r="J3" s="61" t="s">
        <v>88</v>
      </c>
      <c r="K3" s="12" t="s">
        <v>89</v>
      </c>
      <c r="L3" s="62" t="s">
        <v>16</v>
      </c>
      <c r="M3" s="12" t="s">
        <v>90</v>
      </c>
      <c r="P3" s="58"/>
    </row>
    <row r="4" spans="1:16" ht="15.75" x14ac:dyDescent="0.25">
      <c r="A4" s="13"/>
      <c r="B4" s="13"/>
      <c r="C4" s="7"/>
      <c r="D4" s="7"/>
      <c r="E4" s="6"/>
      <c r="F4" s="7"/>
      <c r="G4" s="7"/>
      <c r="H4" s="15"/>
      <c r="L4" s="63"/>
    </row>
    <row r="5" spans="1:16" x14ac:dyDescent="0.25">
      <c r="A5" s="16">
        <v>20053510120000</v>
      </c>
      <c r="B5" s="1" t="s">
        <v>20</v>
      </c>
      <c r="C5" s="20">
        <v>35843.15</v>
      </c>
      <c r="D5" s="20">
        <v>165</v>
      </c>
      <c r="E5" s="19">
        <v>0</v>
      </c>
      <c r="F5" s="20">
        <f>'Monthly Budget 2026'!Q5</f>
        <v>0</v>
      </c>
      <c r="G5" s="64"/>
      <c r="H5" s="18">
        <f>'Monthly Budget 2026'!O5</f>
        <v>0</v>
      </c>
      <c r="I5" s="21" t="e">
        <f t="shared" ref="I5:I13" si="0">+(H5-E5)/E5</f>
        <v>#DIV/0!</v>
      </c>
      <c r="J5" s="65" t="e">
        <f ca="1">_xll.GetAccountBudget(A5,$J$1,2)</f>
        <v>#NAME?</v>
      </c>
      <c r="K5" s="21" t="e">
        <f ca="1">+(J5-E5)/G5</f>
        <v>#NAME?</v>
      </c>
      <c r="L5" s="66" t="e">
        <f ca="1">_xll.GetAccountBudget(A5,$L$1,3)</f>
        <v>#NAME?</v>
      </c>
      <c r="M5" s="21" t="e">
        <f t="shared" ref="M5:M13" ca="1" si="1">(L5/E5)-1</f>
        <v>#NAME?</v>
      </c>
    </row>
    <row r="6" spans="1:16" x14ac:dyDescent="0.25">
      <c r="A6" s="16">
        <v>20053510132000</v>
      </c>
      <c r="B6" s="1" t="s">
        <v>21</v>
      </c>
      <c r="C6" s="20">
        <v>2197.84</v>
      </c>
      <c r="D6" s="20">
        <v>10.23</v>
      </c>
      <c r="E6" s="19">
        <v>0</v>
      </c>
      <c r="F6" s="20">
        <f>'Monthly Budget 2026'!Q6</f>
        <v>0</v>
      </c>
      <c r="G6" s="64"/>
      <c r="H6" s="18">
        <f>'Monthly Budget 2026'!O6</f>
        <v>0</v>
      </c>
      <c r="I6" s="21" t="e">
        <f t="shared" si="0"/>
        <v>#DIV/0!</v>
      </c>
      <c r="J6" s="65" t="e">
        <f ca="1">_xll.GetAccountBudget(A6,$J$1,2)</f>
        <v>#NAME?</v>
      </c>
      <c r="K6" s="21" t="e">
        <f t="shared" ref="K6:K13" ca="1" si="2">+(J6-E6)/G6</f>
        <v>#NAME?</v>
      </c>
      <c r="L6" s="66" t="e">
        <f ca="1">_xll.GetAccountBudget(A6,$L$1,3)</f>
        <v>#NAME?</v>
      </c>
      <c r="M6" s="21" t="e">
        <f t="shared" ca="1" si="1"/>
        <v>#NAME?</v>
      </c>
    </row>
    <row r="7" spans="1:16" x14ac:dyDescent="0.25">
      <c r="A7" s="16">
        <v>20053510133000</v>
      </c>
      <c r="B7" s="1" t="s">
        <v>22</v>
      </c>
      <c r="C7" s="20">
        <v>544.23</v>
      </c>
      <c r="D7" s="20">
        <v>2.39</v>
      </c>
      <c r="E7" s="19">
        <v>0</v>
      </c>
      <c r="F7" s="20">
        <f>'Monthly Budget 2026'!Q7</f>
        <v>0</v>
      </c>
      <c r="G7" s="64"/>
      <c r="H7" s="18">
        <f>'Monthly Budget 2026'!O7</f>
        <v>0</v>
      </c>
      <c r="I7" s="21" t="e">
        <f t="shared" si="0"/>
        <v>#DIV/0!</v>
      </c>
      <c r="J7" s="65" t="e">
        <f ca="1">_xll.GetAccountBudget(A7,$J$1,2)</f>
        <v>#NAME?</v>
      </c>
      <c r="K7" s="21" t="e">
        <f t="shared" ca="1" si="2"/>
        <v>#NAME?</v>
      </c>
      <c r="L7" s="66" t="e">
        <f ca="1">_xll.GetAccountBudget(A7,$L$1,3)</f>
        <v>#NAME?</v>
      </c>
      <c r="M7" s="21" t="e">
        <f t="shared" ca="1" si="1"/>
        <v>#NAME?</v>
      </c>
    </row>
    <row r="8" spans="1:16" x14ac:dyDescent="0.25">
      <c r="A8" s="16">
        <v>20053510804000</v>
      </c>
      <c r="B8" s="1" t="s">
        <v>23</v>
      </c>
      <c r="C8" s="20">
        <v>16816.599999999999</v>
      </c>
      <c r="D8" s="20">
        <v>158.4</v>
      </c>
      <c r="E8" s="19">
        <v>5004</v>
      </c>
      <c r="F8" s="20">
        <f>'Monthly Budget 2026'!Q8</f>
        <v>0</v>
      </c>
      <c r="G8" s="64"/>
      <c r="H8" s="18">
        <f>'Monthly Budget 2026'!O8</f>
        <v>5004</v>
      </c>
      <c r="I8" s="21">
        <f>+(H8-E8)/E8</f>
        <v>0</v>
      </c>
      <c r="J8" s="65" t="e">
        <f ca="1">_xll.GetAccountBudget(A8,$J$1,2)</f>
        <v>#NAME?</v>
      </c>
      <c r="K8" s="21" t="e">
        <f t="shared" ca="1" si="2"/>
        <v>#NAME?</v>
      </c>
      <c r="L8" s="66" t="e">
        <f ca="1">_xll.GetAccountBudget(A8,$L$1,3)</f>
        <v>#NAME?</v>
      </c>
      <c r="M8" s="21" t="e">
        <f t="shared" ca="1" si="1"/>
        <v>#NAME?</v>
      </c>
    </row>
    <row r="9" spans="1:16" x14ac:dyDescent="0.25">
      <c r="A9" s="16">
        <v>20053510805000</v>
      </c>
      <c r="B9" s="1" t="s">
        <v>24</v>
      </c>
      <c r="C9" s="20">
        <v>90630.47</v>
      </c>
      <c r="D9" s="20">
        <v>75310.94</v>
      </c>
      <c r="E9" s="19">
        <v>84436</v>
      </c>
      <c r="F9" s="20">
        <f>'Monthly Budget 2026'!Q9</f>
        <v>39533</v>
      </c>
      <c r="G9" s="64"/>
      <c r="H9" s="18">
        <f>'Monthly Budget 2026'!O9</f>
        <v>60509.24</v>
      </c>
      <c r="I9" s="21">
        <f t="shared" si="0"/>
        <v>-0.28337154768108391</v>
      </c>
      <c r="J9" s="65" t="e">
        <f ca="1">_xll.GetAccountBudget(A9,$J$1,2)</f>
        <v>#NAME?</v>
      </c>
      <c r="K9" s="21" t="e">
        <f t="shared" ca="1" si="2"/>
        <v>#NAME?</v>
      </c>
      <c r="L9" s="66" t="e">
        <f ca="1">_xll.GetAccountBudget(A9,$L$1,3)</f>
        <v>#NAME?</v>
      </c>
      <c r="M9" s="21" t="e">
        <f t="shared" ca="1" si="1"/>
        <v>#NAME?</v>
      </c>
    </row>
    <row r="10" spans="1:16" x14ac:dyDescent="0.25">
      <c r="A10" s="16">
        <v>20053510806000</v>
      </c>
      <c r="B10" s="1" t="s">
        <v>25</v>
      </c>
      <c r="C10" s="20">
        <v>83184.33</v>
      </c>
      <c r="D10" s="20">
        <v>64927.38</v>
      </c>
      <c r="E10" s="19">
        <v>57329</v>
      </c>
      <c r="F10" s="20">
        <f>'Monthly Budget 2026'!Q10</f>
        <v>10143</v>
      </c>
      <c r="G10" s="64"/>
      <c r="H10" s="18">
        <f>'Monthly Budget 2026'!O10</f>
        <v>20769.609600000003</v>
      </c>
      <c r="I10" s="21">
        <f t="shared" si="0"/>
        <v>-0.63771198520818428</v>
      </c>
      <c r="J10" s="65" t="e">
        <f ca="1">_xll.GetAccountBudget(A10,$J$1,2)</f>
        <v>#NAME?</v>
      </c>
      <c r="K10" s="21" t="e">
        <f t="shared" ca="1" si="2"/>
        <v>#NAME?</v>
      </c>
      <c r="L10" s="66" t="e">
        <f ca="1">_xll.GetAccountBudget(A10,$L$1,3)</f>
        <v>#NAME?</v>
      </c>
      <c r="M10" s="21" t="e">
        <f t="shared" ca="1" si="1"/>
        <v>#NAME?</v>
      </c>
    </row>
    <row r="11" spans="1:16" x14ac:dyDescent="0.25">
      <c r="A11" s="16">
        <v>20053510807000</v>
      </c>
      <c r="B11" s="1" t="s">
        <v>26</v>
      </c>
      <c r="C11" s="20">
        <v>14523.32</v>
      </c>
      <c r="D11" s="20">
        <v>9914.9699999999993</v>
      </c>
      <c r="E11" s="19">
        <v>4910</v>
      </c>
      <c r="F11" s="20">
        <f>'Monthly Budget 2026'!Q11</f>
        <v>963</v>
      </c>
      <c r="G11" s="64"/>
      <c r="H11" s="18">
        <f>'Monthly Budget 2026'!O11</f>
        <v>2610</v>
      </c>
      <c r="I11" s="21">
        <f t="shared" si="0"/>
        <v>-0.46843177189409368</v>
      </c>
      <c r="J11" s="65" t="e">
        <f ca="1">_xll.GetAccountBudget(A11,$J$1,2)</f>
        <v>#NAME?</v>
      </c>
      <c r="K11" s="21" t="e">
        <f t="shared" ca="1" si="2"/>
        <v>#NAME?</v>
      </c>
      <c r="L11" s="66" t="e">
        <f ca="1">_xll.GetAccountBudget(A11,$L$1,3)</f>
        <v>#NAME?</v>
      </c>
      <c r="M11" s="21" t="e">
        <f t="shared" ca="1" si="1"/>
        <v>#NAME?</v>
      </c>
    </row>
    <row r="12" spans="1:16" x14ac:dyDescent="0.25">
      <c r="A12" s="16">
        <v>20053510809000</v>
      </c>
      <c r="B12" s="1" t="s">
        <v>27</v>
      </c>
      <c r="C12" s="20">
        <v>874.8</v>
      </c>
      <c r="D12" s="20">
        <v>781</v>
      </c>
      <c r="E12" s="19">
        <v>852</v>
      </c>
      <c r="F12" s="20">
        <f>'Monthly Budget 2026'!Q12</f>
        <v>505</v>
      </c>
      <c r="G12" s="64"/>
      <c r="H12" s="18">
        <f>'Monthly Budget 2026'!O12</f>
        <v>865.20000000000016</v>
      </c>
      <c r="I12" s="21">
        <f t="shared" si="0"/>
        <v>1.5492957746479061E-2</v>
      </c>
      <c r="J12" s="65" t="e">
        <f ca="1">_xll.GetAccountBudget(A12,$J$1,2)</f>
        <v>#NAME?</v>
      </c>
      <c r="K12" s="21" t="e">
        <f t="shared" ca="1" si="2"/>
        <v>#NAME?</v>
      </c>
      <c r="L12" s="66" t="e">
        <f ca="1">_xll.GetAccountBudget(A12,$L$1,3)</f>
        <v>#NAME?</v>
      </c>
      <c r="M12" s="21" t="e">
        <f t="shared" ca="1" si="1"/>
        <v>#NAME?</v>
      </c>
    </row>
    <row r="13" spans="1:16" x14ac:dyDescent="0.25">
      <c r="A13" s="16">
        <v>20053510810000</v>
      </c>
      <c r="B13" s="1" t="s">
        <v>28</v>
      </c>
      <c r="C13" s="20">
        <v>30989.64</v>
      </c>
      <c r="D13" s="20">
        <v>30912.57</v>
      </c>
      <c r="E13" s="19">
        <v>36000</v>
      </c>
      <c r="F13" s="20">
        <f>'Monthly Budget 2026'!Q13</f>
        <v>3158</v>
      </c>
      <c r="G13" s="64"/>
      <c r="H13" s="18">
        <f>'Monthly Budget 2026'!O13</f>
        <v>12000</v>
      </c>
      <c r="I13" s="21">
        <f t="shared" si="0"/>
        <v>-0.66666666666666663</v>
      </c>
      <c r="J13" s="65" t="e">
        <f ca="1">_xll.GetAccountBudget(A13,$J$1,2)</f>
        <v>#NAME?</v>
      </c>
      <c r="K13" s="21" t="e">
        <f t="shared" ca="1" si="2"/>
        <v>#NAME?</v>
      </c>
      <c r="L13" s="66" t="e">
        <f ca="1">_xll.GetAccountBudget(A13,$L$1,3)</f>
        <v>#NAME?</v>
      </c>
      <c r="M13" s="21" t="e">
        <f t="shared" ca="1" si="1"/>
        <v>#NAME?</v>
      </c>
    </row>
    <row r="14" spans="1:16" x14ac:dyDescent="0.25">
      <c r="A14" s="16">
        <v>20053510811000</v>
      </c>
      <c r="B14" s="1" t="s">
        <v>29</v>
      </c>
      <c r="C14" s="20">
        <v>100</v>
      </c>
      <c r="D14" s="20">
        <v>0</v>
      </c>
      <c r="E14" s="19">
        <v>240</v>
      </c>
      <c r="F14" s="20">
        <f>'Monthly Budget 2026'!Q14</f>
        <v>28</v>
      </c>
      <c r="G14" s="64"/>
      <c r="H14" s="18">
        <f>'Monthly Budget 2026'!O14</f>
        <v>240</v>
      </c>
      <c r="I14" s="21">
        <f>+(H14-E14)/E14</f>
        <v>0</v>
      </c>
      <c r="J14" s="65" t="e">
        <f ca="1">_xll.GetAccountBudget(A14,$J$1,2)</f>
        <v>#NAME?</v>
      </c>
      <c r="K14" s="21" t="e">
        <f ca="1">+(J14-E14)/G14</f>
        <v>#NAME?</v>
      </c>
      <c r="L14" s="66" t="e">
        <f ca="1">_xll.GetAccountBudget(A14,$L$1,3)</f>
        <v>#NAME?</v>
      </c>
      <c r="M14" s="21" t="e">
        <f ca="1">(L14/E14)-1</f>
        <v>#NAME?</v>
      </c>
    </row>
    <row r="15" spans="1:16" x14ac:dyDescent="0.25">
      <c r="A15" s="16">
        <v>20053510813000</v>
      </c>
      <c r="B15" s="1" t="s">
        <v>30</v>
      </c>
      <c r="C15" s="20">
        <v>0</v>
      </c>
      <c r="D15" s="20">
        <v>0</v>
      </c>
      <c r="E15" s="19">
        <v>0</v>
      </c>
      <c r="F15" s="20">
        <f>'Monthly Budget 2026'!Q15</f>
        <v>0</v>
      </c>
      <c r="G15" s="64"/>
      <c r="H15" s="18">
        <f>'Monthly Budget 2026'!O15</f>
        <v>0</v>
      </c>
      <c r="I15" s="21" t="e">
        <f t="shared" ref="I15:I35" si="3">+(H15-E15)/E15</f>
        <v>#DIV/0!</v>
      </c>
      <c r="J15" s="65" t="e">
        <f ca="1">_xll.GetAccountBudget(A15,$J$1,2)</f>
        <v>#NAME?</v>
      </c>
      <c r="K15" s="21" t="e">
        <f t="shared" ref="K15:K35" ca="1" si="4">+(J15-E15)/G15</f>
        <v>#NAME?</v>
      </c>
      <c r="L15" s="66" t="e">
        <f ca="1">_xll.GetAccountBudget(A15,$L$1,3)</f>
        <v>#NAME?</v>
      </c>
      <c r="M15" s="21" t="e">
        <f t="shared" ref="M15:M36" ca="1" si="5">(L15/E15)-1</f>
        <v>#NAME?</v>
      </c>
    </row>
    <row r="16" spans="1:16" x14ac:dyDescent="0.25">
      <c r="A16" s="16">
        <v>20053510814000</v>
      </c>
      <c r="B16" s="1" t="s">
        <v>31</v>
      </c>
      <c r="C16" s="20">
        <v>2469.69</v>
      </c>
      <c r="D16" s="20">
        <v>20462.05</v>
      </c>
      <c r="E16" s="19">
        <v>2000</v>
      </c>
      <c r="F16" s="20">
        <f>'Monthly Budget 2026'!Q16</f>
        <v>369</v>
      </c>
      <c r="G16" s="64"/>
      <c r="H16" s="18">
        <f>'Monthly Budget 2026'!O16</f>
        <v>1200</v>
      </c>
      <c r="I16" s="21">
        <f t="shared" si="3"/>
        <v>-0.4</v>
      </c>
      <c r="J16" s="65" t="e">
        <f ca="1">_xll.GetAccountBudget(A16,$J$1,2)</f>
        <v>#NAME?</v>
      </c>
      <c r="K16" s="21" t="e">
        <f t="shared" ca="1" si="4"/>
        <v>#NAME?</v>
      </c>
      <c r="L16" s="66" t="e">
        <f ca="1">_xll.GetAccountBudget(A16,$L$1,3)</f>
        <v>#NAME?</v>
      </c>
      <c r="M16" s="21" t="e">
        <f t="shared" ca="1" si="5"/>
        <v>#NAME?</v>
      </c>
    </row>
    <row r="17" spans="1:13" x14ac:dyDescent="0.25">
      <c r="A17" s="16">
        <v>20053510815000</v>
      </c>
      <c r="B17" s="1" t="s">
        <v>32</v>
      </c>
      <c r="C17" s="20">
        <v>0</v>
      </c>
      <c r="D17" s="20">
        <v>5332</v>
      </c>
      <c r="E17" s="19">
        <v>8749</v>
      </c>
      <c r="F17" s="20">
        <f>'Monthly Budget 2026'!Q17</f>
        <v>2417</v>
      </c>
      <c r="G17" s="64"/>
      <c r="H17" s="18">
        <f>'Monthly Budget 2026'!O17</f>
        <v>5536.0174999999999</v>
      </c>
      <c r="I17" s="21">
        <f t="shared" si="3"/>
        <v>-0.36723997028231797</v>
      </c>
      <c r="J17" s="65" t="e">
        <f ca="1">_xll.GetAccountBudget(A17,$J$1,2)</f>
        <v>#NAME?</v>
      </c>
      <c r="K17" s="21" t="e">
        <f t="shared" ca="1" si="4"/>
        <v>#NAME?</v>
      </c>
      <c r="L17" s="66" t="e">
        <f ca="1">_xll.GetAccountBudget(A17,$L$1,3)</f>
        <v>#NAME?</v>
      </c>
      <c r="M17" s="21" t="e">
        <f t="shared" ca="1" si="5"/>
        <v>#NAME?</v>
      </c>
    </row>
    <row r="18" spans="1:13" x14ac:dyDescent="0.25">
      <c r="A18" s="16">
        <v>20053510816000</v>
      </c>
      <c r="B18" s="1" t="s">
        <v>33</v>
      </c>
      <c r="C18" s="20">
        <v>216035</v>
      </c>
      <c r="D18" s="20">
        <v>0</v>
      </c>
      <c r="E18" s="19">
        <v>0</v>
      </c>
      <c r="F18" s="20">
        <f>'Monthly Budget 2026'!Q18</f>
        <v>0</v>
      </c>
      <c r="G18" s="64"/>
      <c r="H18" s="18">
        <f>'Monthly Budget 2026'!O18</f>
        <v>0</v>
      </c>
      <c r="I18" s="21" t="e">
        <f t="shared" si="3"/>
        <v>#DIV/0!</v>
      </c>
      <c r="J18" s="65" t="e">
        <f ca="1">_xll.GetAccountBudget(A18,$J$1,2)</f>
        <v>#NAME?</v>
      </c>
      <c r="K18" s="21" t="e">
        <f t="shared" ca="1" si="4"/>
        <v>#NAME?</v>
      </c>
      <c r="L18" s="66" t="e">
        <f ca="1">_xll.GetAccountBudget(A18,$L$1,3)</f>
        <v>#NAME?</v>
      </c>
      <c r="M18" s="21" t="e">
        <f t="shared" ca="1" si="5"/>
        <v>#NAME?</v>
      </c>
    </row>
    <row r="19" spans="1:13" x14ac:dyDescent="0.25">
      <c r="A19" s="16">
        <v>20053510817000</v>
      </c>
      <c r="B19" s="1" t="s">
        <v>34</v>
      </c>
      <c r="C19" s="20">
        <v>3354.73</v>
      </c>
      <c r="D19" s="20">
        <v>4654.58</v>
      </c>
      <c r="E19" s="19">
        <v>5303</v>
      </c>
      <c r="F19" s="20">
        <f>'Monthly Budget 2026'!Q19</f>
        <v>1727</v>
      </c>
      <c r="G19" s="64"/>
      <c r="H19" s="18">
        <f>'Monthly Budget 2026'!O19</f>
        <v>2754.9555149999997</v>
      </c>
      <c r="I19" s="21">
        <f t="shared" si="3"/>
        <v>-0.48049113426362444</v>
      </c>
      <c r="J19" s="65" t="e">
        <f ca="1">_xll.GetAccountBudget(A19,$J$1,2)</f>
        <v>#NAME?</v>
      </c>
      <c r="K19" s="21" t="e">
        <f t="shared" ca="1" si="4"/>
        <v>#NAME?</v>
      </c>
      <c r="L19" s="66" t="e">
        <f ca="1">_xll.GetAccountBudget(A19,$L$1,3)</f>
        <v>#NAME?</v>
      </c>
      <c r="M19" s="21" t="e">
        <f t="shared" ca="1" si="5"/>
        <v>#NAME?</v>
      </c>
    </row>
    <row r="20" spans="1:13" x14ac:dyDescent="0.25">
      <c r="A20" s="16">
        <v>20053510820000</v>
      </c>
      <c r="B20" s="1" t="s">
        <v>35</v>
      </c>
      <c r="C20" s="20">
        <v>5225.4399999999996</v>
      </c>
      <c r="D20" s="20">
        <v>2435.1799999999998</v>
      </c>
      <c r="E20" s="19">
        <v>2400</v>
      </c>
      <c r="F20" s="20">
        <f>'Monthly Budget 2026'!Q20</f>
        <v>1523</v>
      </c>
      <c r="G20" s="64"/>
      <c r="H20" s="18">
        <f>'Monthly Budget 2026'!O20</f>
        <v>2400</v>
      </c>
      <c r="I20" s="21">
        <f t="shared" si="3"/>
        <v>0</v>
      </c>
      <c r="J20" s="65" t="e">
        <f ca="1">_xll.GetAccountBudget(A20,$J$1,2)</f>
        <v>#NAME?</v>
      </c>
      <c r="K20" s="21" t="e">
        <f t="shared" ca="1" si="4"/>
        <v>#NAME?</v>
      </c>
      <c r="L20" s="66" t="e">
        <f ca="1">_xll.GetAccountBudget(A20,$L$1,3)</f>
        <v>#NAME?</v>
      </c>
      <c r="M20" s="21" t="e">
        <f t="shared" ca="1" si="5"/>
        <v>#NAME?</v>
      </c>
    </row>
    <row r="21" spans="1:13" x14ac:dyDescent="0.25">
      <c r="A21" s="16">
        <v>20053510821000</v>
      </c>
      <c r="B21" s="1" t="s">
        <v>36</v>
      </c>
      <c r="C21" s="20">
        <v>3033.3</v>
      </c>
      <c r="D21" s="20">
        <v>3342.27</v>
      </c>
      <c r="E21" s="19">
        <v>3000</v>
      </c>
      <c r="F21" s="20">
        <f>'Monthly Budget 2026'!Q21</f>
        <v>5300</v>
      </c>
      <c r="G21" s="64"/>
      <c r="H21" s="18">
        <f>'Monthly Budget 2026'!O21</f>
        <v>7200</v>
      </c>
      <c r="I21" s="21">
        <f t="shared" si="3"/>
        <v>1.4</v>
      </c>
      <c r="J21" s="65" t="e">
        <f ca="1">_xll.GetAccountBudget(A21,$J$1,2)</f>
        <v>#NAME?</v>
      </c>
      <c r="K21" s="21" t="e">
        <f t="shared" ca="1" si="4"/>
        <v>#NAME?</v>
      </c>
      <c r="L21" s="66" t="e">
        <f ca="1">_xll.GetAccountBudget(A21,$L$1,3)</f>
        <v>#NAME?</v>
      </c>
      <c r="M21" s="21" t="e">
        <f t="shared" ca="1" si="5"/>
        <v>#NAME?</v>
      </c>
    </row>
    <row r="22" spans="1:13" hidden="1" x14ac:dyDescent="0.25">
      <c r="A22" s="16">
        <v>20053510822000</v>
      </c>
      <c r="B22" s="1" t="s">
        <v>37</v>
      </c>
      <c r="C22" s="20">
        <v>0</v>
      </c>
      <c r="D22" s="20">
        <v>0</v>
      </c>
      <c r="E22" s="19">
        <v>0</v>
      </c>
      <c r="F22" s="20">
        <f>'Monthly Budget 2026'!Q22</f>
        <v>0</v>
      </c>
      <c r="G22" s="64"/>
      <c r="H22" s="18">
        <f>'Monthly Budget 2026'!O22</f>
        <v>0</v>
      </c>
      <c r="I22" s="21" t="e">
        <f t="shared" si="3"/>
        <v>#DIV/0!</v>
      </c>
      <c r="J22" s="65" t="e">
        <f ca="1">_xll.GetAccountBudget(A22,$J$1,2)</f>
        <v>#NAME?</v>
      </c>
      <c r="K22" s="21" t="e">
        <f t="shared" ca="1" si="4"/>
        <v>#NAME?</v>
      </c>
      <c r="L22" s="66" t="e">
        <f ca="1">_xll.GetAccountBudget(A22,$L$1,3)</f>
        <v>#NAME?</v>
      </c>
      <c r="M22" s="21" t="e">
        <f t="shared" ca="1" si="5"/>
        <v>#NAME?</v>
      </c>
    </row>
    <row r="23" spans="1:13" x14ac:dyDescent="0.25">
      <c r="A23" s="16">
        <v>20053510823000</v>
      </c>
      <c r="B23" s="1" t="s">
        <v>38</v>
      </c>
      <c r="C23" s="20">
        <v>7952</v>
      </c>
      <c r="D23" s="20">
        <v>6467</v>
      </c>
      <c r="E23" s="19">
        <v>9600</v>
      </c>
      <c r="F23" s="20">
        <f>'Monthly Budget 2026'!Q23</f>
        <v>7575</v>
      </c>
      <c r="G23" s="64"/>
      <c r="H23" s="18">
        <f>'Monthly Budget 2026'!O23</f>
        <v>10800</v>
      </c>
      <c r="I23" s="21">
        <f t="shared" si="3"/>
        <v>0.125</v>
      </c>
      <c r="J23" s="65" t="e">
        <f ca="1">_xll.GetAccountBudget(A23,$J$1,2)</f>
        <v>#NAME?</v>
      </c>
      <c r="K23" s="21" t="e">
        <f t="shared" ca="1" si="4"/>
        <v>#NAME?</v>
      </c>
      <c r="L23" s="66" t="e">
        <f ca="1">_xll.GetAccountBudget(A23,$L$1,3)</f>
        <v>#NAME?</v>
      </c>
      <c r="M23" s="21" t="e">
        <f t="shared" ca="1" si="5"/>
        <v>#NAME?</v>
      </c>
    </row>
    <row r="24" spans="1:13" x14ac:dyDescent="0.25">
      <c r="A24" s="16">
        <v>20053510824000</v>
      </c>
      <c r="B24" s="1" t="s">
        <v>39</v>
      </c>
      <c r="C24" s="20">
        <v>7575</v>
      </c>
      <c r="D24" s="20">
        <v>126911.25</v>
      </c>
      <c r="E24" s="19">
        <v>124800</v>
      </c>
      <c r="F24" s="20">
        <f>'Monthly Budget 2026'!Q24</f>
        <v>96233</v>
      </c>
      <c r="G24" s="64"/>
      <c r="H24" s="18">
        <f>'Monthly Budget 2026'!O24</f>
        <v>131757.6</v>
      </c>
      <c r="I24" s="21">
        <f t="shared" si="3"/>
        <v>5.575000000000005E-2</v>
      </c>
      <c r="J24" s="65" t="e">
        <f ca="1">_xll.GetAccountBudget(A24,$J$1,2)</f>
        <v>#NAME?</v>
      </c>
      <c r="K24" s="21" t="e">
        <f t="shared" ca="1" si="4"/>
        <v>#NAME?</v>
      </c>
      <c r="L24" s="66" t="e">
        <f ca="1">_xll.GetAccountBudget(A24,$L$1,3)</f>
        <v>#NAME?</v>
      </c>
      <c r="M24" s="21" t="e">
        <f t="shared" ca="1" si="5"/>
        <v>#NAME?</v>
      </c>
    </row>
    <row r="25" spans="1:13" x14ac:dyDescent="0.25">
      <c r="A25" s="16">
        <v>20053510827000</v>
      </c>
      <c r="B25" s="1" t="s">
        <v>40</v>
      </c>
      <c r="C25" s="20">
        <v>76.03</v>
      </c>
      <c r="D25" s="20">
        <v>331.23</v>
      </c>
      <c r="E25" s="19">
        <v>36</v>
      </c>
      <c r="F25" s="20">
        <f>'Monthly Budget 2026'!Q25</f>
        <v>36</v>
      </c>
      <c r="G25" s="64"/>
      <c r="H25" s="18">
        <f>'Monthly Budget 2026'!O25</f>
        <v>48</v>
      </c>
      <c r="I25" s="21">
        <f t="shared" si="3"/>
        <v>0.33333333333333331</v>
      </c>
      <c r="J25" s="65" t="e">
        <f ca="1">_xll.GetAccountBudget(A25,$J$1,2)</f>
        <v>#NAME?</v>
      </c>
      <c r="K25" s="21" t="e">
        <f t="shared" ca="1" si="4"/>
        <v>#NAME?</v>
      </c>
      <c r="L25" s="66" t="e">
        <f ca="1">_xll.GetAccountBudget(A25,$L$1,3)</f>
        <v>#NAME?</v>
      </c>
      <c r="M25" s="21" t="e">
        <f t="shared" ca="1" si="5"/>
        <v>#NAME?</v>
      </c>
    </row>
    <row r="26" spans="1:13" x14ac:dyDescent="0.25">
      <c r="A26" s="16">
        <v>20053510828000</v>
      </c>
      <c r="B26" s="1" t="s">
        <v>41</v>
      </c>
      <c r="C26" s="20">
        <v>50.2</v>
      </c>
      <c r="D26" s="20">
        <v>454.38</v>
      </c>
      <c r="E26" s="19">
        <v>252</v>
      </c>
      <c r="F26" s="20">
        <f>'Monthly Budget 2026'!Q26</f>
        <v>0</v>
      </c>
      <c r="G26" s="64"/>
      <c r="H26" s="18">
        <f>'Monthly Budget 2026'!O26</f>
        <v>240</v>
      </c>
      <c r="I26" s="21">
        <f t="shared" si="3"/>
        <v>-4.7619047619047616E-2</v>
      </c>
      <c r="J26" s="65" t="e">
        <f ca="1">_xll.GetAccountBudget(A26,$J$1,2)</f>
        <v>#NAME?</v>
      </c>
      <c r="K26" s="21" t="e">
        <f t="shared" ca="1" si="4"/>
        <v>#NAME?</v>
      </c>
      <c r="L26" s="66" t="e">
        <f ca="1">_xll.GetAccountBudget(A26,$L$1,3)</f>
        <v>#NAME?</v>
      </c>
      <c r="M26" s="21" t="e">
        <f t="shared" ca="1" si="5"/>
        <v>#NAME?</v>
      </c>
    </row>
    <row r="27" spans="1:13" hidden="1" x14ac:dyDescent="0.25">
      <c r="A27" s="16">
        <v>20053510829000</v>
      </c>
      <c r="B27" s="1" t="s">
        <v>42</v>
      </c>
      <c r="C27" s="20">
        <v>497.65</v>
      </c>
      <c r="D27" s="20">
        <v>497.65</v>
      </c>
      <c r="E27" s="19">
        <v>0</v>
      </c>
      <c r="F27" s="20">
        <f>'Monthly Budget 2026'!Q27</f>
        <v>0</v>
      </c>
      <c r="G27" s="64"/>
      <c r="H27" s="18">
        <f>'Monthly Budget 2026'!O27</f>
        <v>0</v>
      </c>
      <c r="I27" s="21" t="e">
        <f t="shared" si="3"/>
        <v>#DIV/0!</v>
      </c>
      <c r="J27" s="65" t="e">
        <f ca="1">_xll.GetAccountBudget(A27,$J$1,2)</f>
        <v>#NAME?</v>
      </c>
      <c r="K27" s="21" t="e">
        <f t="shared" ca="1" si="4"/>
        <v>#NAME?</v>
      </c>
      <c r="L27" s="66" t="e">
        <f ca="1">_xll.GetAccountBudget(A27,$L$1,3)</f>
        <v>#NAME?</v>
      </c>
      <c r="M27" s="21" t="e">
        <f t="shared" ca="1" si="5"/>
        <v>#NAME?</v>
      </c>
    </row>
    <row r="28" spans="1:13" x14ac:dyDescent="0.25">
      <c r="A28" s="16">
        <v>20053510830000</v>
      </c>
      <c r="B28" s="1" t="s">
        <v>43</v>
      </c>
      <c r="C28" s="20">
        <v>1835.18</v>
      </c>
      <c r="D28" s="20">
        <v>1902.26</v>
      </c>
      <c r="E28" s="19">
        <v>2000</v>
      </c>
      <c r="F28" s="20">
        <f>'Monthly Budget 2026'!Q28</f>
        <v>2368</v>
      </c>
      <c r="G28" s="64"/>
      <c r="H28" s="18">
        <f>'Monthly Budget 2026'!O28</f>
        <v>3600</v>
      </c>
      <c r="I28" s="21">
        <f t="shared" si="3"/>
        <v>0.8</v>
      </c>
      <c r="J28" s="65" t="e">
        <f ca="1">_xll.GetAccountBudget(A28,$J$1,2)</f>
        <v>#NAME?</v>
      </c>
      <c r="K28" s="21" t="e">
        <f t="shared" ca="1" si="4"/>
        <v>#NAME?</v>
      </c>
      <c r="L28" s="66" t="e">
        <f ca="1">_xll.GetAccountBudget(A28,$L$1,3)</f>
        <v>#NAME?</v>
      </c>
      <c r="M28" s="21" t="e">
        <f t="shared" ca="1" si="5"/>
        <v>#NAME?</v>
      </c>
    </row>
    <row r="29" spans="1:13" hidden="1" x14ac:dyDescent="0.25">
      <c r="A29" s="16">
        <v>20053510831000</v>
      </c>
      <c r="B29" s="1" t="s">
        <v>44</v>
      </c>
      <c r="C29" s="20">
        <v>0</v>
      </c>
      <c r="D29" s="20">
        <v>0</v>
      </c>
      <c r="E29" s="19">
        <v>0</v>
      </c>
      <c r="F29" s="20">
        <f>'Monthly Budget 2026'!Q29</f>
        <v>0</v>
      </c>
      <c r="G29" s="64"/>
      <c r="H29" s="18">
        <f>'Monthly Budget 2026'!O29</f>
        <v>0</v>
      </c>
      <c r="I29" s="21" t="e">
        <f t="shared" si="3"/>
        <v>#DIV/0!</v>
      </c>
      <c r="J29" s="65" t="e">
        <f ca="1">_xll.GetAccountBudget(A29,$J$1,2)</f>
        <v>#NAME?</v>
      </c>
      <c r="K29" s="21" t="e">
        <f t="shared" ca="1" si="4"/>
        <v>#NAME?</v>
      </c>
      <c r="L29" s="66" t="e">
        <f ca="1">_xll.GetAccountBudget(A29,$L$1,3)</f>
        <v>#NAME?</v>
      </c>
      <c r="M29" s="21" t="e">
        <f t="shared" ca="1" si="5"/>
        <v>#NAME?</v>
      </c>
    </row>
    <row r="30" spans="1:13" x14ac:dyDescent="0.25">
      <c r="A30" s="16">
        <v>20053510833000</v>
      </c>
      <c r="B30" s="1" t="s">
        <v>45</v>
      </c>
      <c r="C30" s="20">
        <v>4310.46</v>
      </c>
      <c r="D30" s="20">
        <v>4201.3900000000003</v>
      </c>
      <c r="E30" s="19">
        <v>3600</v>
      </c>
      <c r="F30" s="20">
        <f>'Monthly Budget 2026'!Q30</f>
        <v>2359</v>
      </c>
      <c r="G30" s="64"/>
      <c r="H30" s="18">
        <f>'Monthly Budget 2026'!O30</f>
        <v>3600</v>
      </c>
      <c r="I30" s="21">
        <f t="shared" si="3"/>
        <v>0</v>
      </c>
      <c r="J30" s="65" t="e">
        <f ca="1">_xll.GetAccountBudget(A30,$J$1,2)</f>
        <v>#NAME?</v>
      </c>
      <c r="K30" s="21" t="e">
        <f t="shared" ca="1" si="4"/>
        <v>#NAME?</v>
      </c>
      <c r="L30" s="66" t="e">
        <f ca="1">_xll.GetAccountBudget(A30,$L$1,3)</f>
        <v>#NAME?</v>
      </c>
      <c r="M30" s="21" t="e">
        <f t="shared" ca="1" si="5"/>
        <v>#NAME?</v>
      </c>
    </row>
    <row r="31" spans="1:13" x14ac:dyDescent="0.25">
      <c r="A31" s="16">
        <v>20053510836000</v>
      </c>
      <c r="B31" s="1" t="s">
        <v>46</v>
      </c>
      <c r="C31" s="20">
        <v>9359.92</v>
      </c>
      <c r="D31" s="20">
        <v>8341.7800000000007</v>
      </c>
      <c r="E31" s="19">
        <v>9000</v>
      </c>
      <c r="F31" s="20">
        <f>'Monthly Budget 2026'!Q31</f>
        <v>6648</v>
      </c>
      <c r="G31" s="64"/>
      <c r="H31" s="18">
        <f>'Monthly Budget 2026'!O31</f>
        <v>9000</v>
      </c>
      <c r="I31" s="21">
        <f t="shared" si="3"/>
        <v>0</v>
      </c>
      <c r="J31" s="65" t="e">
        <f ca="1">_xll.GetAccountBudget(A31,$J$1,2)</f>
        <v>#NAME?</v>
      </c>
      <c r="K31" s="21" t="e">
        <f t="shared" ca="1" si="4"/>
        <v>#NAME?</v>
      </c>
      <c r="L31" s="66" t="e">
        <f ca="1">_xll.GetAccountBudget(A31,$L$1,3)</f>
        <v>#NAME?</v>
      </c>
      <c r="M31" s="21" t="e">
        <f t="shared" ca="1" si="5"/>
        <v>#NAME?</v>
      </c>
    </row>
    <row r="32" spans="1:13" x14ac:dyDescent="0.25">
      <c r="A32" s="16">
        <v>20053510841000</v>
      </c>
      <c r="B32" s="1" t="s">
        <v>47</v>
      </c>
      <c r="C32" s="20">
        <v>757.9</v>
      </c>
      <c r="D32" s="20">
        <v>0</v>
      </c>
      <c r="E32" s="19">
        <v>1002</v>
      </c>
      <c r="F32" s="20">
        <f>'Monthly Budget 2026'!Q32</f>
        <v>0</v>
      </c>
      <c r="G32" s="64"/>
      <c r="H32" s="18">
        <f>'Monthly Budget 2026'!O32</f>
        <v>600</v>
      </c>
      <c r="I32" s="21">
        <f t="shared" si="3"/>
        <v>-0.40119760479041916</v>
      </c>
      <c r="J32" s="65" t="e">
        <f ca="1">_xll.GetAccountBudget(A32,$J$1,2)</f>
        <v>#NAME?</v>
      </c>
      <c r="K32" s="21" t="e">
        <f t="shared" ca="1" si="4"/>
        <v>#NAME?</v>
      </c>
      <c r="L32" s="66" t="e">
        <f ca="1">_xll.GetAccountBudget(A32,$L$1,3)</f>
        <v>#NAME?</v>
      </c>
      <c r="M32" s="21" t="e">
        <f t="shared" ca="1" si="5"/>
        <v>#NAME?</v>
      </c>
    </row>
    <row r="33" spans="1:18" x14ac:dyDescent="0.25">
      <c r="A33" s="16">
        <v>20053510847000</v>
      </c>
      <c r="B33" s="1" t="s">
        <v>48</v>
      </c>
      <c r="C33" s="20">
        <v>0</v>
      </c>
      <c r="D33" s="20">
        <v>0</v>
      </c>
      <c r="E33" s="19">
        <v>0</v>
      </c>
      <c r="F33" s="20">
        <f>'Monthly Budget 2026'!Q33</f>
        <v>0</v>
      </c>
      <c r="G33" s="64"/>
      <c r="H33" s="18">
        <f>'Monthly Budget 2026'!O33</f>
        <v>0</v>
      </c>
      <c r="I33" s="21" t="e">
        <f t="shared" si="3"/>
        <v>#DIV/0!</v>
      </c>
      <c r="J33" s="65" t="e">
        <f ca="1">_xll.GetAccountBudget(A33,$J$1,2)</f>
        <v>#NAME?</v>
      </c>
      <c r="K33" s="21" t="e">
        <f t="shared" ca="1" si="4"/>
        <v>#NAME?</v>
      </c>
      <c r="L33" s="66" t="e">
        <f ca="1">_xll.GetAccountBudget(A33,$L$1,3)</f>
        <v>#NAME?</v>
      </c>
      <c r="M33" s="21" t="e">
        <f t="shared" ca="1" si="5"/>
        <v>#NAME?</v>
      </c>
    </row>
    <row r="34" spans="1:18" x14ac:dyDescent="0.25">
      <c r="A34" s="16">
        <v>20053510848000</v>
      </c>
      <c r="B34" s="1" t="s">
        <v>49</v>
      </c>
      <c r="C34" s="20">
        <v>10222.870000000001</v>
      </c>
      <c r="D34" s="20">
        <v>15650.61</v>
      </c>
      <c r="E34" s="19">
        <v>15600</v>
      </c>
      <c r="F34" s="20">
        <f>'Monthly Budget 2026'!Q34</f>
        <v>6036</v>
      </c>
      <c r="G34" s="64"/>
      <c r="H34" s="18">
        <f>'Monthly Budget 2026'!O34</f>
        <v>12000</v>
      </c>
      <c r="I34" s="21">
        <f t="shared" si="3"/>
        <v>-0.23076923076923078</v>
      </c>
      <c r="J34" s="65" t="e">
        <f ca="1">_xll.GetAccountBudget(A34,$J$1,2)</f>
        <v>#NAME?</v>
      </c>
      <c r="K34" s="21" t="e">
        <f t="shared" ca="1" si="4"/>
        <v>#NAME?</v>
      </c>
      <c r="L34" s="66" t="e">
        <f ca="1">_xll.GetAccountBudget(A34,$L$1,3)</f>
        <v>#NAME?</v>
      </c>
      <c r="M34" s="21" t="e">
        <f t="shared" ca="1" si="5"/>
        <v>#NAME?</v>
      </c>
    </row>
    <row r="35" spans="1:18" x14ac:dyDescent="0.25">
      <c r="A35" s="16">
        <v>20053510850000</v>
      </c>
      <c r="B35" s="1" t="s">
        <v>50</v>
      </c>
      <c r="C35" s="24">
        <v>25259</v>
      </c>
      <c r="D35" s="24">
        <v>0</v>
      </c>
      <c r="E35" s="23">
        <v>0</v>
      </c>
      <c r="F35" s="20">
        <f>'Monthly Budget 2026'!Q35</f>
        <v>0</v>
      </c>
      <c r="G35" s="67"/>
      <c r="H35" s="18">
        <f>'Monthly Budget 2026'!O35</f>
        <v>0</v>
      </c>
      <c r="I35" s="21" t="e">
        <f t="shared" si="3"/>
        <v>#DIV/0!</v>
      </c>
      <c r="J35" s="68" t="e">
        <f ca="1">_xll.GetAccountBudget(A35,$J$1,2)</f>
        <v>#NAME?</v>
      </c>
      <c r="K35" s="21" t="e">
        <f t="shared" ca="1" si="4"/>
        <v>#NAME?</v>
      </c>
      <c r="L35" s="69" t="e">
        <f ca="1">_xll.GetAccountBudget(A35,$L$1,3)</f>
        <v>#NAME?</v>
      </c>
      <c r="M35" s="21" t="e">
        <f t="shared" ca="1" si="5"/>
        <v>#NAME?</v>
      </c>
    </row>
    <row r="36" spans="1:18" x14ac:dyDescent="0.25">
      <c r="B36" s="25" t="s">
        <v>51</v>
      </c>
      <c r="C36" s="29">
        <f t="shared" ref="C36:H36" si="6">SUM(C5:C35)</f>
        <v>573718.75000000012</v>
      </c>
      <c r="D36" s="29">
        <v>386544.25</v>
      </c>
      <c r="E36" s="28">
        <f>SUM(E5:E35)</f>
        <v>376113</v>
      </c>
      <c r="F36" s="29">
        <f>122527.15</f>
        <v>122527.15</v>
      </c>
      <c r="G36" s="29">
        <f t="shared" si="6"/>
        <v>0</v>
      </c>
      <c r="H36" s="27">
        <f t="shared" si="6"/>
        <v>292734.622615</v>
      </c>
      <c r="I36" s="29"/>
      <c r="J36" s="70" t="e">
        <f ca="1">SUM(J5:J35)</f>
        <v>#NAME?</v>
      </c>
      <c r="K36" s="29"/>
      <c r="L36" s="71" t="e">
        <f ca="1">SUM(L5:L35)</f>
        <v>#NAME?</v>
      </c>
      <c r="M36" s="21" t="e">
        <f t="shared" ca="1" si="5"/>
        <v>#NAME?</v>
      </c>
    </row>
    <row r="37" spans="1:18" x14ac:dyDescent="0.25">
      <c r="B37" s="25"/>
      <c r="C37" s="29"/>
      <c r="D37" s="29"/>
      <c r="E37" s="28"/>
      <c r="F37" s="29"/>
      <c r="G37" s="29"/>
      <c r="H37" s="27"/>
      <c r="I37" s="29"/>
      <c r="J37" s="70"/>
      <c r="K37" s="29"/>
      <c r="L37" s="71"/>
      <c r="M37" s="72"/>
    </row>
    <row r="38" spans="1:18" x14ac:dyDescent="0.25">
      <c r="C38" s="32"/>
      <c r="D38" s="32"/>
      <c r="E38" s="31"/>
      <c r="F38" s="32"/>
      <c r="G38" s="32"/>
      <c r="H38" s="30"/>
      <c r="I38" s="32"/>
      <c r="J38" s="73"/>
      <c r="K38" s="74"/>
      <c r="L38" s="75"/>
      <c r="M38" s="72"/>
    </row>
    <row r="39" spans="1:18" ht="15.75" x14ac:dyDescent="0.25">
      <c r="A39" s="106" t="s">
        <v>52</v>
      </c>
      <c r="B39" s="106"/>
      <c r="C39" s="34"/>
      <c r="D39" s="34"/>
      <c r="E39" s="33"/>
      <c r="F39" s="34"/>
      <c r="H39" s="15"/>
      <c r="L39" s="63"/>
      <c r="M39" s="72"/>
    </row>
    <row r="40" spans="1:18" x14ac:dyDescent="0.25">
      <c r="A40" s="16">
        <v>20043539200000</v>
      </c>
      <c r="B40" s="1" t="s">
        <v>53</v>
      </c>
      <c r="C40" s="20">
        <v>0</v>
      </c>
      <c r="D40" s="20">
        <f>'Monthly Budget 2026'!S40</f>
        <v>0</v>
      </c>
      <c r="E40" s="19">
        <f>'Monthly Budget 2026'!P40</f>
        <v>0</v>
      </c>
      <c r="F40" s="20">
        <f>'Monthly Budget 2026'!Q40</f>
        <v>0</v>
      </c>
      <c r="G40" s="64"/>
      <c r="H40" s="18">
        <f>'Monthly Budget 2026'!O40</f>
        <v>0</v>
      </c>
      <c r="I40" s="21" t="e">
        <f t="shared" ref="I40:I43" si="7">(H40/E40)-1</f>
        <v>#DIV/0!</v>
      </c>
      <c r="J40" s="65" t="e">
        <f ca="1">-_xll.GetAccountBudget(A40,$J$1,2)</f>
        <v>#NAME?</v>
      </c>
      <c r="K40" s="21" t="e">
        <f ca="1">(J40/E40)-1</f>
        <v>#NAME?</v>
      </c>
      <c r="L40" s="66" t="e">
        <f ca="1">-_xll.GetAccountBudget(A40,$L$1,3)</f>
        <v>#NAME?</v>
      </c>
      <c r="M40" s="21" t="e">
        <f ca="1">(L40/E40)-1</f>
        <v>#NAME?</v>
      </c>
      <c r="R40" s="2"/>
    </row>
    <row r="41" spans="1:18" x14ac:dyDescent="0.25">
      <c r="A41" s="16">
        <v>20046340260000</v>
      </c>
      <c r="B41" s="1" t="s">
        <v>54</v>
      </c>
      <c r="C41" s="20">
        <v>0</v>
      </c>
      <c r="D41" s="20">
        <f>'Monthly Budget 2026'!S41</f>
        <v>0</v>
      </c>
      <c r="E41" s="19">
        <f>'Monthly Budget 2026'!P41</f>
        <v>0</v>
      </c>
      <c r="F41" s="20">
        <f>'Monthly Budget 2026'!Q41</f>
        <v>0</v>
      </c>
      <c r="G41" s="64"/>
      <c r="H41" s="18">
        <f>'Monthly Budget 2026'!O41</f>
        <v>0</v>
      </c>
      <c r="I41" s="21" t="e">
        <f t="shared" si="7"/>
        <v>#DIV/0!</v>
      </c>
      <c r="J41" s="65"/>
      <c r="K41" s="21" t="e">
        <f t="shared" ref="K41:K57" si="8">(J41/E41)-1</f>
        <v>#DIV/0!</v>
      </c>
      <c r="L41" s="66"/>
      <c r="M41" s="21"/>
      <c r="R41" s="2"/>
    </row>
    <row r="42" spans="1:18" x14ac:dyDescent="0.25">
      <c r="A42" s="16">
        <v>20046340460000</v>
      </c>
      <c r="B42" s="1" t="s">
        <v>55</v>
      </c>
      <c r="C42" s="20">
        <v>88652.17</v>
      </c>
      <c r="D42" s="20">
        <f>'Monthly Budget 2026'!S42</f>
        <v>80490.86</v>
      </c>
      <c r="E42" s="19">
        <f>'Monthly Budget 2026'!P42</f>
        <v>99038</v>
      </c>
      <c r="F42" s="20">
        <f>'Monthly Budget 2026'!Q42</f>
        <v>49830</v>
      </c>
      <c r="G42" s="64"/>
      <c r="H42" s="18">
        <f>'Monthly Budget 2026'!O42</f>
        <v>77149.280999999988</v>
      </c>
      <c r="I42" s="21">
        <f t="shared" si="7"/>
        <v>-0.22101333831458647</v>
      </c>
      <c r="J42" s="65" t="e">
        <f ca="1">-_xll.GetAccountBudget(A42,$J$1,2)</f>
        <v>#NAME?</v>
      </c>
      <c r="K42" s="21" t="e">
        <f t="shared" ca="1" si="8"/>
        <v>#NAME?</v>
      </c>
      <c r="L42" s="66" t="e">
        <f ca="1">-_xll.GetAccountBudget(A42,$L$1,3)</f>
        <v>#NAME?</v>
      </c>
      <c r="M42" s="21" t="e">
        <f t="shared" ref="M42:M43" ca="1" si="9">(L42/E42)-1</f>
        <v>#NAME?</v>
      </c>
      <c r="R42" s="2"/>
    </row>
    <row r="43" spans="1:18" x14ac:dyDescent="0.25">
      <c r="A43" s="16">
        <v>20046340461000</v>
      </c>
      <c r="B43" s="1" t="s">
        <v>56</v>
      </c>
      <c r="C43" s="20">
        <v>132967.04000000001</v>
      </c>
      <c r="D43" s="20">
        <f>'Monthly Budget 2026'!S43</f>
        <v>93456.65</v>
      </c>
      <c r="E43" s="19">
        <f>'Monthly Budget 2026'!P43</f>
        <v>76984</v>
      </c>
      <c r="F43" s="20">
        <f>'Monthly Budget 2026'!Q43</f>
        <v>16960</v>
      </c>
      <c r="G43" s="64"/>
      <c r="H43" s="18">
        <f>'Monthly Budget 2026'!O43</f>
        <v>33048.939600000005</v>
      </c>
      <c r="I43" s="21">
        <f t="shared" si="7"/>
        <v>-0.57070378780006226</v>
      </c>
      <c r="J43" s="65" t="e">
        <f ca="1">-_xll.GetAccountBudget(A43,$J$1,2)</f>
        <v>#NAME?</v>
      </c>
      <c r="K43" s="21" t="e">
        <f t="shared" ca="1" si="8"/>
        <v>#NAME?</v>
      </c>
      <c r="L43" s="66" t="e">
        <f ca="1">-_xll.GetAccountBudget(A43,$L$1,3)</f>
        <v>#NAME?</v>
      </c>
      <c r="M43" s="21" t="e">
        <f t="shared" ca="1" si="9"/>
        <v>#NAME?</v>
      </c>
      <c r="R43" s="2"/>
    </row>
    <row r="44" spans="1:18" x14ac:dyDescent="0.25">
      <c r="A44" s="16">
        <v>20046340462000</v>
      </c>
      <c r="B44" s="1" t="s">
        <v>57</v>
      </c>
      <c r="C44" s="20">
        <v>350</v>
      </c>
      <c r="D44" s="20">
        <f>'Monthly Budget 2026'!S44</f>
        <v>0</v>
      </c>
      <c r="E44" s="19">
        <f>'Monthly Budget 2026'!P44</f>
        <v>9000</v>
      </c>
      <c r="F44" s="20">
        <f>'Monthly Budget 2026'!Q44</f>
        <v>0</v>
      </c>
      <c r="G44" s="64"/>
      <c r="H44" s="18">
        <f>'Monthly Budget 2026'!O44</f>
        <v>9000</v>
      </c>
      <c r="I44" s="21">
        <f>(H44/E44)-1</f>
        <v>0</v>
      </c>
      <c r="J44" s="65" t="e">
        <f ca="1">-_xll.GetAccountBudget(A44,$J$1,2)</f>
        <v>#NAME?</v>
      </c>
      <c r="K44" s="21" t="e">
        <f t="shared" ca="1" si="8"/>
        <v>#NAME?</v>
      </c>
      <c r="L44" s="66" t="e">
        <f ca="1">-_xll.GetAccountBudget(A44,$L$1,3)</f>
        <v>#NAME?</v>
      </c>
      <c r="M44" s="21" t="e">
        <f ca="1">(L44/E44)-1</f>
        <v>#NAME?</v>
      </c>
      <c r="R44" s="2"/>
    </row>
    <row r="45" spans="1:18" x14ac:dyDescent="0.25">
      <c r="A45" s="16">
        <v>20046340463000</v>
      </c>
      <c r="B45" s="1" t="s">
        <v>58</v>
      </c>
      <c r="C45" s="20">
        <v>6450</v>
      </c>
      <c r="D45" s="20">
        <f>'Monthly Budget 2026'!S45</f>
        <v>4620</v>
      </c>
      <c r="E45" s="19">
        <f>'Monthly Budget 2026'!P45</f>
        <v>6390</v>
      </c>
      <c r="F45" s="20">
        <f>'Monthly Budget 2026'!Q45</f>
        <v>3090</v>
      </c>
      <c r="G45" s="64"/>
      <c r="H45" s="18">
        <f>'Monthly Budget 2026'!O45</f>
        <v>6390</v>
      </c>
      <c r="I45" s="21">
        <f t="shared" ref="I45:I51" si="10">(H45/E45)-1</f>
        <v>0</v>
      </c>
      <c r="J45" s="65" t="e">
        <f ca="1">-_xll.GetAccountBudget(A45,$J$1,2)</f>
        <v>#NAME?</v>
      </c>
      <c r="K45" s="21" t="e">
        <f t="shared" ca="1" si="8"/>
        <v>#NAME?</v>
      </c>
      <c r="L45" s="66" t="e">
        <f ca="1">-_xll.GetAccountBudget(A45,$L$1,3)</f>
        <v>#NAME?</v>
      </c>
      <c r="M45" s="21" t="e">
        <f t="shared" ref="M45:M51" ca="1" si="11">(L45/E45)-1</f>
        <v>#NAME?</v>
      </c>
      <c r="R45" s="76"/>
    </row>
    <row r="46" spans="1:18" x14ac:dyDescent="0.25">
      <c r="A46" s="16">
        <v>20046340464000</v>
      </c>
      <c r="B46" s="1" t="s">
        <v>59</v>
      </c>
      <c r="C46" s="20">
        <v>34176.47</v>
      </c>
      <c r="D46" s="20">
        <f>'Monthly Budget 2026'!S46</f>
        <v>37344.160000000003</v>
      </c>
      <c r="E46" s="19">
        <f>'Monthly Budget 2026'!P46</f>
        <v>65700</v>
      </c>
      <c r="F46" s="20">
        <f>'Monthly Budget 2026'!Q46</f>
        <v>47866</v>
      </c>
      <c r="G46" s="64"/>
      <c r="H46" s="18">
        <f>'Monthly Budget 2026'!O46</f>
        <v>59700</v>
      </c>
      <c r="I46" s="21">
        <f>(H46/E46)-1</f>
        <v>-9.1324200913242004E-2</v>
      </c>
      <c r="J46" s="65" t="e">
        <f ca="1">-_xll.GetAccountBudget(A46,$J$1,2)</f>
        <v>#NAME?</v>
      </c>
      <c r="K46" s="21" t="e">
        <f t="shared" ca="1" si="8"/>
        <v>#NAME?</v>
      </c>
      <c r="L46" s="66" t="e">
        <f ca="1">-_xll.GetAccountBudget(A46,$L$1,3)</f>
        <v>#NAME?</v>
      </c>
      <c r="M46" s="21" t="e">
        <f t="shared" ca="1" si="11"/>
        <v>#NAME?</v>
      </c>
    </row>
    <row r="47" spans="1:18" x14ac:dyDescent="0.25">
      <c r="A47" s="16">
        <v>20046340466000</v>
      </c>
      <c r="B47" s="1" t="s">
        <v>60</v>
      </c>
      <c r="C47" s="20">
        <v>6508.16</v>
      </c>
      <c r="D47" s="20">
        <f>'Monthly Budget 2026'!S47</f>
        <v>7942.67</v>
      </c>
      <c r="E47" s="19">
        <f>'Monthly Budget 2026'!P47</f>
        <v>6000</v>
      </c>
      <c r="F47" s="20">
        <f>'Monthly Budget 2026'!Q47</f>
        <v>9539</v>
      </c>
      <c r="G47" s="64"/>
      <c r="H47" s="18">
        <f>'Monthly Budget 2026'!O47</f>
        <v>9000</v>
      </c>
      <c r="I47" s="21">
        <f t="shared" si="10"/>
        <v>0.5</v>
      </c>
      <c r="J47" s="65" t="e">
        <f ca="1">-_xll.GetAccountBudget(A47,$J$1,2)</f>
        <v>#NAME?</v>
      </c>
      <c r="K47" s="21" t="e">
        <f t="shared" ca="1" si="8"/>
        <v>#NAME?</v>
      </c>
      <c r="L47" s="66" t="e">
        <f ca="1">-_xll.GetAccountBudget(A47,$L$1,3)</f>
        <v>#NAME?</v>
      </c>
      <c r="M47" s="21" t="e">
        <f t="shared" ca="1" si="11"/>
        <v>#NAME?</v>
      </c>
    </row>
    <row r="48" spans="1:18" x14ac:dyDescent="0.25">
      <c r="A48" s="16">
        <v>20046340467000</v>
      </c>
      <c r="B48" s="1" t="s">
        <v>61</v>
      </c>
      <c r="C48" s="20">
        <v>4184.4399999999996</v>
      </c>
      <c r="D48" s="20">
        <f>'Monthly Budget 2026'!S48</f>
        <v>5824.9</v>
      </c>
      <c r="E48" s="19">
        <f>'Monthly Budget 2026'!P48</f>
        <v>4200</v>
      </c>
      <c r="F48" s="20">
        <f>'Monthly Budget 2026'!Q48</f>
        <v>4538</v>
      </c>
      <c r="G48" s="64"/>
      <c r="H48" s="18">
        <f>'Monthly Budget 2026'!O48</f>
        <v>6000</v>
      </c>
      <c r="I48" s="21">
        <f t="shared" si="10"/>
        <v>0.4285714285714286</v>
      </c>
      <c r="J48" s="65" t="e">
        <f ca="1">-_xll.GetAccountBudget(A48,$J$1,2)</f>
        <v>#NAME?</v>
      </c>
      <c r="K48" s="21" t="e">
        <f t="shared" ca="1" si="8"/>
        <v>#NAME?</v>
      </c>
      <c r="L48" s="66" t="e">
        <f ca="1">-_xll.GetAccountBudget(A48,$L$1,3)</f>
        <v>#NAME?</v>
      </c>
      <c r="M48" s="21" t="e">
        <f t="shared" ca="1" si="11"/>
        <v>#NAME?</v>
      </c>
    </row>
    <row r="49" spans="1:13" x14ac:dyDescent="0.25">
      <c r="A49" s="16">
        <v>20046340468000</v>
      </c>
      <c r="B49" s="1" t="s">
        <v>62</v>
      </c>
      <c r="C49" s="20">
        <v>159316.20000000001</v>
      </c>
      <c r="D49" s="20">
        <f>'Monthly Budget 2026'!S49</f>
        <v>58843.31</v>
      </c>
      <c r="E49" s="19">
        <f>'Monthly Budget 2026'!P49</f>
        <v>90500</v>
      </c>
      <c r="F49" s="20">
        <f>'Monthly Budget 2026'!Q49</f>
        <v>63586</v>
      </c>
      <c r="G49" s="64"/>
      <c r="H49" s="18">
        <f>'Monthly Budget 2026'!O49</f>
        <v>90499.98</v>
      </c>
      <c r="I49" s="21">
        <f t="shared" si="10"/>
        <v>-2.2099447516410464E-7</v>
      </c>
      <c r="J49" s="65" t="e">
        <f ca="1">-_xll.GetAccountBudget(A49,$J$1,2)</f>
        <v>#NAME?</v>
      </c>
      <c r="K49" s="21" t="e">
        <f t="shared" ca="1" si="8"/>
        <v>#NAME?</v>
      </c>
      <c r="L49" s="66" t="e">
        <f ca="1">-_xll.GetAccountBudget(A49,$L$1,3)</f>
        <v>#NAME?</v>
      </c>
      <c r="M49" s="21" t="e">
        <f t="shared" ca="1" si="11"/>
        <v>#NAME?</v>
      </c>
    </row>
    <row r="50" spans="1:13" x14ac:dyDescent="0.25">
      <c r="A50" s="16">
        <v>20046340470000</v>
      </c>
      <c r="B50" s="1" t="s">
        <v>63</v>
      </c>
      <c r="C50" s="20">
        <v>8265</v>
      </c>
      <c r="D50" s="20">
        <f>'Monthly Budget 2026'!S50</f>
        <v>5900</v>
      </c>
      <c r="E50" s="19">
        <f>'Monthly Budget 2026'!P50</f>
        <v>10440</v>
      </c>
      <c r="F50" s="20">
        <f>'Monthly Budget 2026'!Q50</f>
        <v>5785</v>
      </c>
      <c r="G50" s="64"/>
      <c r="H50" s="18">
        <f>'Monthly Budget 2026'!O50</f>
        <v>10440</v>
      </c>
      <c r="I50" s="21">
        <f t="shared" si="10"/>
        <v>0</v>
      </c>
      <c r="J50" s="65" t="e">
        <f ca="1">-_xll.GetAccountBudget(A50,$J$1,2)</f>
        <v>#NAME?</v>
      </c>
      <c r="K50" s="21" t="e">
        <f t="shared" ca="1" si="8"/>
        <v>#NAME?</v>
      </c>
      <c r="L50" s="66" t="e">
        <f ca="1">-_xll.GetAccountBudget(A50,$L$1,3)</f>
        <v>#NAME?</v>
      </c>
      <c r="M50" s="21" t="e">
        <f t="shared" ca="1" si="11"/>
        <v>#NAME?</v>
      </c>
    </row>
    <row r="51" spans="1:13" x14ac:dyDescent="0.25">
      <c r="A51" s="16">
        <v>20046340471000</v>
      </c>
      <c r="B51" s="1" t="s">
        <v>64</v>
      </c>
      <c r="C51" s="20">
        <v>1007</v>
      </c>
      <c r="D51" s="20">
        <f>'Monthly Budget 2026'!S51</f>
        <v>5900</v>
      </c>
      <c r="E51" s="19">
        <f>'Monthly Budget 2026'!P51</f>
        <v>1272</v>
      </c>
      <c r="F51" s="20">
        <f>'Monthly Budget 2026'!Q51</f>
        <v>715</v>
      </c>
      <c r="G51" s="64"/>
      <c r="H51" s="18">
        <f>'Monthly Budget 2026'!O51</f>
        <v>1272</v>
      </c>
      <c r="I51" s="21">
        <f t="shared" si="10"/>
        <v>0</v>
      </c>
      <c r="J51" s="65" t="e">
        <f ca="1">-_xll.GetAccountBudget(A51,$J$1,2)</f>
        <v>#NAME?</v>
      </c>
      <c r="K51" s="21" t="e">
        <f t="shared" ca="1" si="8"/>
        <v>#NAME?</v>
      </c>
      <c r="L51" s="66" t="e">
        <f ca="1">-_xll.GetAccountBudget(A51,$L$1,3)</f>
        <v>#NAME?</v>
      </c>
      <c r="M51" s="21" t="e">
        <f t="shared" ca="1" si="11"/>
        <v>#NAME?</v>
      </c>
    </row>
    <row r="52" spans="1:13" hidden="1" x14ac:dyDescent="0.25">
      <c r="A52" s="16">
        <v>20046340472000</v>
      </c>
      <c r="B52" s="1" t="s">
        <v>65</v>
      </c>
      <c r="C52" s="20">
        <v>0</v>
      </c>
      <c r="D52" s="20">
        <f>'Monthly Budget 2026'!S52</f>
        <v>400</v>
      </c>
      <c r="E52" s="19">
        <f>'Monthly Budget 2026'!P52</f>
        <v>0</v>
      </c>
      <c r="F52" s="20">
        <f>'Monthly Budget 2026'!Q52</f>
        <v>0</v>
      </c>
      <c r="G52" s="64"/>
      <c r="H52" s="18">
        <f>'Monthly Budget 2026'!O52</f>
        <v>0</v>
      </c>
      <c r="I52" s="21" t="e">
        <f>(H52/E52)-1</f>
        <v>#DIV/0!</v>
      </c>
      <c r="J52" s="65" t="e">
        <f ca="1">-_xll.GetAccountBudget(A52,$J$1,2)</f>
        <v>#NAME?</v>
      </c>
      <c r="K52" s="21" t="e">
        <f t="shared" ca="1" si="8"/>
        <v>#NAME?</v>
      </c>
      <c r="L52" s="66" t="e">
        <f ca="1">-_xll.GetAccountBudget(A52,$L$1,3)</f>
        <v>#NAME?</v>
      </c>
      <c r="M52" s="21" t="e">
        <f ca="1">(L52/E52)-1</f>
        <v>#NAME?</v>
      </c>
    </row>
    <row r="53" spans="1:13" x14ac:dyDescent="0.25">
      <c r="A53" s="16">
        <v>20046340473000</v>
      </c>
      <c r="B53" s="1" t="s">
        <v>66</v>
      </c>
      <c r="C53" s="20">
        <v>1821.6</v>
      </c>
      <c r="D53" s="20">
        <f>'Monthly Budget 2026'!S53</f>
        <v>0</v>
      </c>
      <c r="E53" s="19">
        <f>'Monthly Budget 2026'!P53</f>
        <v>0</v>
      </c>
      <c r="F53" s="20">
        <f>'Monthly Budget 2026'!Q53</f>
        <v>0</v>
      </c>
      <c r="G53" s="64"/>
      <c r="H53" s="18">
        <f>'Monthly Budget 2026'!O53</f>
        <v>0</v>
      </c>
      <c r="I53" s="21" t="e">
        <f>(H53/E53)-1</f>
        <v>#DIV/0!</v>
      </c>
      <c r="J53" s="65" t="e">
        <f ca="1">-_xll.GetAccountBudget(A53,$J$1,2)</f>
        <v>#NAME?</v>
      </c>
      <c r="K53" s="21" t="e">
        <f t="shared" ca="1" si="8"/>
        <v>#NAME?</v>
      </c>
      <c r="L53" s="66" t="e">
        <f ca="1">-_xll.GetAccountBudget(A53,$L$1,3)</f>
        <v>#NAME?</v>
      </c>
      <c r="M53" s="21" t="e">
        <f ca="1">(L53/E53)-1</f>
        <v>#NAME?</v>
      </c>
    </row>
    <row r="54" spans="1:13" x14ac:dyDescent="0.25">
      <c r="A54" s="16">
        <v>20046340475000</v>
      </c>
      <c r="B54" s="1" t="s">
        <v>67</v>
      </c>
      <c r="C54" s="20">
        <v>12383.79</v>
      </c>
      <c r="D54" s="20">
        <f>'Monthly Budget 2026'!S54</f>
        <v>0</v>
      </c>
      <c r="E54" s="19">
        <f>'Monthly Budget 2026'!P54</f>
        <v>0</v>
      </c>
      <c r="F54" s="20">
        <f>'Monthly Budget 2026'!Q54</f>
        <v>0</v>
      </c>
      <c r="G54" s="64"/>
      <c r="H54" s="18">
        <f>'Monthly Budget 2026'!O54</f>
        <v>0</v>
      </c>
      <c r="I54" s="21" t="e">
        <f t="shared" ref="I54:I56" si="12">(H54/E54)-1</f>
        <v>#DIV/0!</v>
      </c>
      <c r="J54" s="65" t="e">
        <f ca="1">-_xll.GetAccountBudget(A54,$J$1,2)</f>
        <v>#NAME?</v>
      </c>
      <c r="K54" s="21" t="e">
        <f t="shared" ca="1" si="8"/>
        <v>#NAME?</v>
      </c>
      <c r="L54" s="66" t="e">
        <f ca="1">-_xll.GetAccountBudget(A54,$L$1,3)</f>
        <v>#NAME?</v>
      </c>
      <c r="M54" s="21" t="e">
        <f t="shared" ref="M54:M56" ca="1" si="13">(L54/E54)-1</f>
        <v>#NAME?</v>
      </c>
    </row>
    <row r="55" spans="1:13" hidden="1" x14ac:dyDescent="0.25">
      <c r="A55" s="16">
        <v>20046340479000</v>
      </c>
      <c r="B55" s="1" t="s">
        <v>68</v>
      </c>
      <c r="C55" s="20">
        <v>0</v>
      </c>
      <c r="D55" s="20">
        <f>'Monthly Budget 2026'!S55</f>
        <v>4380</v>
      </c>
      <c r="E55" s="19">
        <f>'Monthly Budget 2026'!P55</f>
        <v>0</v>
      </c>
      <c r="F55" s="20">
        <f>'Monthly Budget 2026'!Q55</f>
        <v>0</v>
      </c>
      <c r="G55" s="64"/>
      <c r="H55" s="18">
        <f>'Monthly Budget 2026'!O55</f>
        <v>0</v>
      </c>
      <c r="I55" s="21" t="e">
        <f t="shared" si="12"/>
        <v>#DIV/0!</v>
      </c>
      <c r="J55" s="65" t="e">
        <f ca="1">-_xll.GetAccountBudget(A55,$J$1,2)</f>
        <v>#NAME?</v>
      </c>
      <c r="K55" s="21" t="e">
        <f t="shared" ca="1" si="8"/>
        <v>#NAME?</v>
      </c>
      <c r="L55" s="66" t="e">
        <f ca="1">-_xll.GetAccountBudget(A55,$L$1,3)</f>
        <v>#NAME?</v>
      </c>
      <c r="M55" s="21" t="e">
        <f t="shared" ca="1" si="13"/>
        <v>#NAME?</v>
      </c>
    </row>
    <row r="56" spans="1:13" x14ac:dyDescent="0.25">
      <c r="A56" s="16">
        <v>20046340480000</v>
      </c>
      <c r="B56" s="1" t="s">
        <v>69</v>
      </c>
      <c r="C56" s="20">
        <v>2323.0700000000002</v>
      </c>
      <c r="D56" s="20">
        <f>'Monthly Budget 2026'!S56</f>
        <v>762</v>
      </c>
      <c r="E56" s="19">
        <f>'Monthly Budget 2026'!P56</f>
        <v>3600</v>
      </c>
      <c r="F56" s="20">
        <f>'Monthly Budget 2026'!Q56</f>
        <v>900</v>
      </c>
      <c r="G56" s="64"/>
      <c r="H56" s="18">
        <f>'Monthly Budget 2026'!O56</f>
        <v>3600</v>
      </c>
      <c r="I56" s="21">
        <f t="shared" si="12"/>
        <v>0</v>
      </c>
      <c r="J56" s="65" t="e">
        <f ca="1">-_xll.GetAccountBudget(A56,$J$1,2)</f>
        <v>#NAME?</v>
      </c>
      <c r="K56" s="21" t="e">
        <f t="shared" ca="1" si="8"/>
        <v>#NAME?</v>
      </c>
      <c r="L56" s="66" t="e">
        <f ca="1">-_xll.GetAccountBudget(A56,$L$1,3)</f>
        <v>#NAME?</v>
      </c>
      <c r="M56" s="21" t="e">
        <f t="shared" ca="1" si="13"/>
        <v>#NAME?</v>
      </c>
    </row>
    <row r="57" spans="1:13" x14ac:dyDescent="0.25">
      <c r="A57" s="16">
        <v>20046340485000</v>
      </c>
      <c r="B57" s="1" t="s">
        <v>70</v>
      </c>
      <c r="C57" s="20">
        <v>30000</v>
      </c>
      <c r="D57" s="20">
        <f>'Monthly Budget 2026'!S57</f>
        <v>15000</v>
      </c>
      <c r="E57" s="19">
        <f>'Monthly Budget 2026'!P57</f>
        <v>0</v>
      </c>
      <c r="F57" s="20">
        <f>'Monthly Budget 2026'!Q57</f>
        <v>0</v>
      </c>
      <c r="G57" s="64"/>
      <c r="H57" s="18">
        <f>'Monthly Budget 2026'!O57</f>
        <v>0</v>
      </c>
      <c r="I57" s="21" t="e">
        <f>(H57/E57)-1</f>
        <v>#DIV/0!</v>
      </c>
      <c r="J57" s="65" t="e">
        <f ca="1">-_xll.GetAccountBudget(A57,$J$1,2)</f>
        <v>#NAME?</v>
      </c>
      <c r="K57" s="21" t="e">
        <f t="shared" ca="1" si="8"/>
        <v>#NAME?</v>
      </c>
      <c r="L57" s="66" t="e">
        <f ca="1">-_xll.GetAccountBudget(A57,$L$1,3)</f>
        <v>#NAME?</v>
      </c>
      <c r="M57" s="21" t="e">
        <f ca="1">(L57/E57)-1</f>
        <v>#NAME?</v>
      </c>
    </row>
    <row r="58" spans="1:13" x14ac:dyDescent="0.25">
      <c r="A58" s="16">
        <v>20046340679000</v>
      </c>
      <c r="B58" s="1" t="s">
        <v>71</v>
      </c>
      <c r="C58" s="20">
        <v>40.270000000000003</v>
      </c>
      <c r="D58" s="20">
        <f>'Monthly Budget 2026'!S58</f>
        <v>0</v>
      </c>
      <c r="E58" s="19">
        <f>'Monthly Budget 2026'!P58</f>
        <v>0</v>
      </c>
      <c r="F58" s="20">
        <f>'Monthly Budget 2026'!Q58</f>
        <v>0</v>
      </c>
      <c r="G58" s="64"/>
      <c r="H58" s="18">
        <f>'Monthly Budget 2026'!O58</f>
        <v>0</v>
      </c>
      <c r="I58" s="21" t="e">
        <f>(H58/E58)-1</f>
        <v>#DIV/0!</v>
      </c>
      <c r="J58" s="65" t="e">
        <f ca="1">-_xll.GetAccountBudget(A58,$J$1,2)</f>
        <v>#NAME?</v>
      </c>
      <c r="K58" s="21" t="e">
        <f ca="1">(J58/E58)-1</f>
        <v>#NAME?</v>
      </c>
      <c r="L58" s="66" t="e">
        <f ca="1">-_xll.GetAccountBudget(A58,$L$1,3)</f>
        <v>#NAME?</v>
      </c>
      <c r="M58" s="21" t="e">
        <f ca="1">(L58/E58)-1</f>
        <v>#NAME?</v>
      </c>
    </row>
    <row r="59" spans="1:13" x14ac:dyDescent="0.25">
      <c r="A59" s="16">
        <v>20046750675000</v>
      </c>
      <c r="B59" s="1" t="s">
        <v>72</v>
      </c>
      <c r="C59" s="20">
        <v>676.17</v>
      </c>
      <c r="D59" s="20">
        <f>'Monthly Budget 2026'!S59</f>
        <v>446.48</v>
      </c>
      <c r="E59" s="19">
        <f>'Monthly Budget 2026'!P59</f>
        <v>0</v>
      </c>
      <c r="F59" s="20">
        <f>'Monthly Budget 2026'!Q59</f>
        <v>214</v>
      </c>
      <c r="G59" s="64"/>
      <c r="H59" s="18">
        <f>'Monthly Budget 2026'!O59</f>
        <v>0</v>
      </c>
      <c r="I59" s="21" t="e">
        <f t="shared" ref="I59" si="14">(H59/E59)-1</f>
        <v>#DIV/0!</v>
      </c>
      <c r="J59" s="68" t="e">
        <f ca="1">-_xll.GetAccountBudget(A59,$J$1,2)</f>
        <v>#NAME?</v>
      </c>
      <c r="K59" s="21" t="e">
        <f t="shared" ref="K59" ca="1" si="15">(J59/E59)-1</f>
        <v>#NAME?</v>
      </c>
      <c r="L59" s="69" t="e">
        <f ca="1">-_xll.GetAccountBudget(A59,$L$1,3)</f>
        <v>#NAME?</v>
      </c>
      <c r="M59" s="21" t="e">
        <f t="shared" ref="M59:M60" ca="1" si="16">(L59/E59)-1</f>
        <v>#NAME?</v>
      </c>
    </row>
    <row r="60" spans="1:13" x14ac:dyDescent="0.25">
      <c r="B60" s="25" t="s">
        <v>73</v>
      </c>
      <c r="C60" s="38">
        <f t="shared" ref="C60" si="17">SUM(C40:C59)</f>
        <v>489121.38</v>
      </c>
      <c r="D60" s="87">
        <f>'Monthly Budget 2026'!S60</f>
        <v>322906.71999999997</v>
      </c>
      <c r="E60" s="88">
        <f>'Monthly Budget 2026'!P60</f>
        <v>373124</v>
      </c>
      <c r="F60" s="87">
        <f>'Monthly Budget 2026'!Q60</f>
        <v>203023</v>
      </c>
      <c r="G60" s="77">
        <f t="shared" ref="G60" si="18">SUM(G40:G59)</f>
        <v>0</v>
      </c>
      <c r="H60" s="18">
        <f>'Monthly Budget 2026'!O60</f>
        <v>306100.20059999998</v>
      </c>
      <c r="I60" s="39"/>
      <c r="J60" s="78" t="e">
        <f ca="1">SUM(J40:J59)</f>
        <v>#NAME?</v>
      </c>
      <c r="K60" s="39"/>
      <c r="L60" s="79" t="e">
        <f ca="1">SUM(L40:L59)</f>
        <v>#NAME?</v>
      </c>
      <c r="M60" s="21" t="e">
        <f t="shared" ca="1" si="16"/>
        <v>#NAME?</v>
      </c>
    </row>
    <row r="61" spans="1:13" x14ac:dyDescent="0.25">
      <c r="C61" s="2"/>
      <c r="D61" s="2"/>
      <c r="E61" s="41"/>
      <c r="F61" s="2"/>
      <c r="G61" s="42"/>
      <c r="H61" s="40"/>
      <c r="I61" s="42"/>
      <c r="J61" s="80"/>
      <c r="K61" s="42"/>
      <c r="L61" s="81"/>
      <c r="M61" s="72"/>
    </row>
    <row r="62" spans="1:13" x14ac:dyDescent="0.25">
      <c r="B62" s="25" t="s">
        <v>74</v>
      </c>
      <c r="C62" s="2">
        <f t="shared" ref="C62:H62" si="19">+C60-C36</f>
        <v>-84597.370000000112</v>
      </c>
      <c r="D62" s="2">
        <f t="shared" si="19"/>
        <v>-63637.530000000028</v>
      </c>
      <c r="E62" s="41">
        <f t="shared" si="19"/>
        <v>-2989</v>
      </c>
      <c r="F62" s="2">
        <f t="shared" si="19"/>
        <v>80495.850000000006</v>
      </c>
      <c r="G62" s="2">
        <f t="shared" si="19"/>
        <v>0</v>
      </c>
      <c r="H62" s="40">
        <f t="shared" si="19"/>
        <v>13365.577984999982</v>
      </c>
      <c r="I62" s="42"/>
      <c r="J62" s="80" t="e">
        <f ca="1">+J60-J36</f>
        <v>#NAME?</v>
      </c>
      <c r="K62" s="42"/>
      <c r="L62" s="81" t="e">
        <f ca="1">+L60-L36</f>
        <v>#NAME?</v>
      </c>
      <c r="M62" s="21" t="e">
        <f ca="1">(L62/E62)-1</f>
        <v>#NAME?</v>
      </c>
    </row>
    <row r="63" spans="1:13" x14ac:dyDescent="0.25">
      <c r="C63" s="2"/>
      <c r="D63" s="2"/>
      <c r="E63" s="42"/>
      <c r="F63" s="2"/>
      <c r="G63" s="42"/>
      <c r="H63" s="42"/>
      <c r="I63" s="42"/>
      <c r="J63" s="42"/>
      <c r="K63" s="42"/>
      <c r="L63" s="2"/>
      <c r="M63" s="72"/>
    </row>
    <row r="64" spans="1:13" ht="15.75" hidden="1" x14ac:dyDescent="0.25">
      <c r="A64" s="106" t="s">
        <v>91</v>
      </c>
      <c r="B64" s="106"/>
      <c r="E64" s="1"/>
      <c r="J64" s="1"/>
      <c r="M64" s="72"/>
    </row>
    <row r="65" spans="1:13" hidden="1" x14ac:dyDescent="0.25">
      <c r="A65" s="1" t="s">
        <v>92</v>
      </c>
      <c r="B65" s="1" t="e">
        <f ca="1">_xll.GetAccountTitle($A65)</f>
        <v>#NAME?</v>
      </c>
      <c r="C65" s="2" t="e">
        <f ca="1">-_xll.GetAccountBalance(A65,$C$1)</f>
        <v>#NAME?</v>
      </c>
      <c r="D65" s="2" t="e">
        <f ca="1">-_xll.GetAccountBalance(A65,$D$1)</f>
        <v>#NAME?</v>
      </c>
      <c r="E65" s="42" t="e">
        <f ca="1">-_xll.GetAccountBudget(A65,$E$1,5)</f>
        <v>#NAME?</v>
      </c>
      <c r="F65" s="2" t="e">
        <f ca="1">-_xll.GetAccountBalance(A65,$F$1)</f>
        <v>#NAME?</v>
      </c>
      <c r="J65" s="1"/>
      <c r="M65" s="72"/>
    </row>
    <row r="66" spans="1:13" hidden="1" x14ac:dyDescent="0.25">
      <c r="A66" s="1" t="s">
        <v>93</v>
      </c>
      <c r="B66" s="1" t="e">
        <f ca="1">_xll.GetAccountTitle($A66)</f>
        <v>#NAME?</v>
      </c>
      <c r="C66" s="2" t="e">
        <f ca="1">-_xll.GetAccountBalance(A66,$C$1)</f>
        <v>#NAME?</v>
      </c>
      <c r="D66" s="2" t="e">
        <f ca="1">-_xll.GetAccountBalance(A66,$D$1)</f>
        <v>#NAME?</v>
      </c>
      <c r="E66" s="42" t="e">
        <f ca="1">-_xll.GetAccountBudget(A66,$E$1,5)</f>
        <v>#NAME?</v>
      </c>
      <c r="F66" s="2" t="e">
        <f ca="1">-_xll.GetAccountBalance(A66,$F$1)</f>
        <v>#NAME?</v>
      </c>
      <c r="J66" s="1"/>
      <c r="M66" s="72"/>
    </row>
    <row r="67" spans="1:13" hidden="1" x14ac:dyDescent="0.25">
      <c r="A67" s="1" t="s">
        <v>94</v>
      </c>
      <c r="B67" s="1" t="e">
        <f ca="1">_xll.GetAccountTitle($A67)</f>
        <v>#NAME?</v>
      </c>
      <c r="C67" s="2" t="e">
        <f ca="1">-_xll.GetAccountBalance(A67,$C$1)</f>
        <v>#NAME?</v>
      </c>
      <c r="D67" s="2" t="e">
        <f ca="1">-_xll.GetAccountBalance(A67,$D$1)</f>
        <v>#NAME?</v>
      </c>
      <c r="E67" s="42" t="e">
        <f ca="1">-_xll.GetAccountBudget(A67,$E$1,5)</f>
        <v>#NAME?</v>
      </c>
      <c r="F67" s="2" t="e">
        <f ca="1">-_xll.GetAccountBalance(A67,$F$1)</f>
        <v>#NAME?</v>
      </c>
      <c r="J67" s="1"/>
      <c r="M67" s="72"/>
    </row>
    <row r="68" spans="1:13" hidden="1" x14ac:dyDescent="0.25">
      <c r="A68" s="1" t="s">
        <v>95</v>
      </c>
      <c r="B68" s="1" t="e">
        <f ca="1">_xll.GetAccountTitle($A68)</f>
        <v>#NAME?</v>
      </c>
      <c r="C68" s="2" t="e">
        <f ca="1">-_xll.GetAccountBalance(A68,$C$1)</f>
        <v>#NAME?</v>
      </c>
      <c r="D68" s="2" t="e">
        <f ca="1">-_xll.GetAccountBalance(A68,$D$1)</f>
        <v>#NAME?</v>
      </c>
      <c r="E68" s="42" t="e">
        <f ca="1">-_xll.GetAccountBudget(A68,$E$1,5)</f>
        <v>#NAME?</v>
      </c>
      <c r="F68" s="2" t="e">
        <f ca="1">-_xll.GetAccountBalance(A68,$F$1)</f>
        <v>#NAME?</v>
      </c>
      <c r="J68" s="1"/>
      <c r="M68" s="72"/>
    </row>
    <row r="69" spans="1:13" hidden="1" x14ac:dyDescent="0.25">
      <c r="A69" s="1" t="s">
        <v>96</v>
      </c>
      <c r="B69" s="1" t="e">
        <f ca="1">_xll.GetAccountTitle($A69)</f>
        <v>#NAME?</v>
      </c>
      <c r="C69" s="2" t="e">
        <f ca="1">-_xll.GetAccountBalance(A69,$C$1)</f>
        <v>#NAME?</v>
      </c>
      <c r="D69" s="2" t="e">
        <f ca="1">-_xll.GetAccountBalance(A69,$D$1)</f>
        <v>#NAME?</v>
      </c>
      <c r="E69" s="42" t="e">
        <f ca="1">-_xll.GetAccountBudget(A69,$E$1,5)</f>
        <v>#NAME?</v>
      </c>
      <c r="F69" s="2" t="e">
        <f ca="1">-_xll.GetAccountBalance(A69,$F$1)</f>
        <v>#NAME?</v>
      </c>
      <c r="J69" s="1"/>
      <c r="M69" s="72"/>
    </row>
    <row r="70" spans="1:13" hidden="1" x14ac:dyDescent="0.25">
      <c r="A70" s="1" t="s">
        <v>97</v>
      </c>
      <c r="B70" s="1" t="e">
        <f ca="1">_xll.GetAccountTitle($A70)</f>
        <v>#NAME?</v>
      </c>
      <c r="C70" s="24" t="e">
        <f ca="1">-_xll.GetAccountBalance(A70,$C$1)</f>
        <v>#NAME?</v>
      </c>
      <c r="D70" s="24" t="e">
        <f ca="1">-_xll.GetAccountBalance(A70,$D$1)</f>
        <v>#NAME?</v>
      </c>
      <c r="E70" s="67" t="e">
        <f ca="1">-_xll.GetAccountBudget(A70,$E$1,5)</f>
        <v>#NAME?</v>
      </c>
      <c r="F70" s="24" t="e">
        <f ca="1">-_xll.GetAccountBalance(A70,$F$1)</f>
        <v>#NAME?</v>
      </c>
      <c r="G70" s="82"/>
      <c r="H70" s="82"/>
      <c r="I70" s="82"/>
      <c r="J70" s="82"/>
      <c r="K70" s="82"/>
      <c r="L70" s="82"/>
      <c r="M70" s="72"/>
    </row>
    <row r="71" spans="1:13" hidden="1" x14ac:dyDescent="0.25">
      <c r="B71" s="25" t="s">
        <v>98</v>
      </c>
      <c r="C71" s="83" t="e">
        <f ca="1">SUM(C65:C70)</f>
        <v>#NAME?</v>
      </c>
      <c r="D71" s="83" t="e">
        <f ca="1">SUM(D65:D70)</f>
        <v>#NAME?</v>
      </c>
      <c r="E71" s="39" t="e">
        <f ca="1">SUM(E65:E70)</f>
        <v>#NAME?</v>
      </c>
      <c r="F71" s="29" t="e">
        <f ca="1">SUM(F65:F70)</f>
        <v>#NAME?</v>
      </c>
      <c r="J71" s="1"/>
      <c r="M71" s="72"/>
    </row>
    <row r="72" spans="1:13" x14ac:dyDescent="0.25">
      <c r="E72" s="1"/>
      <c r="J72" s="1"/>
      <c r="M72" s="72"/>
    </row>
    <row r="73" spans="1:13" ht="15.75" x14ac:dyDescent="0.25">
      <c r="A73" s="106" t="s">
        <v>99</v>
      </c>
      <c r="B73" s="106"/>
      <c r="D73" s="83"/>
      <c r="E73" s="39"/>
      <c r="F73" s="39"/>
      <c r="G73" s="84"/>
      <c r="H73" s="84"/>
      <c r="J73" s="85"/>
      <c r="K73" s="86"/>
      <c r="L73" s="86"/>
      <c r="M73" s="72"/>
    </row>
    <row r="74" spans="1:13" x14ac:dyDescent="0.25">
      <c r="A74" s="1" t="s">
        <v>100</v>
      </c>
      <c r="B74" s="1" t="s">
        <v>101</v>
      </c>
      <c r="C74" s="64"/>
      <c r="D74" s="64"/>
      <c r="E74" s="64"/>
      <c r="F74" s="64"/>
      <c r="G74" s="76"/>
      <c r="H74" s="76"/>
      <c r="J74" s="76" t="e">
        <f ca="1">$G$74+J62</f>
        <v>#NAME?</v>
      </c>
      <c r="L74" s="76" t="e">
        <f ca="1">$G$74+L62</f>
        <v>#NAME?</v>
      </c>
      <c r="M74" s="72"/>
    </row>
  </sheetData>
  <mergeCells count="3">
    <mergeCell ref="A39:B39"/>
    <mergeCell ref="A64:B64"/>
    <mergeCell ref="A73:B73"/>
  </mergeCells>
  <conditionalFormatting sqref="I5:I35 K5:K35 I40:I59 K40:K59">
    <cfRule type="containsErrors" dxfId="3" priority="1">
      <formula>ISERROR(I5)</formula>
    </cfRule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M5:M74">
    <cfRule type="containsErrors" dxfId="0" priority="4">
      <formula>ISERROR(M5)</formula>
    </cfRule>
  </conditionalFormatting>
  <pageMargins left="0.2" right="0.2" top="1.25" bottom="0.5" header="0.3" footer="0.3"/>
  <pageSetup scale="85" fitToHeight="0" orientation="landscape" r:id="rId1"/>
  <headerFooter>
    <oddHeader>&amp;C&amp;"-,Bold"&amp;20&amp;UPlatteville Airport
2024 Adopted Budget</oddHeader>
  </headerFooter>
  <rowBreaks count="1" manualBreakCount="1">
    <brk id="37" max="12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AD7CC8-62A9-4991-94B2-6068033FE131}">
  <sheetPr codeName="Sheet2"/>
  <dimension ref="A1:P26"/>
  <sheetViews>
    <sheetView workbookViewId="0">
      <selection activeCell="B11" sqref="B11:M11"/>
    </sheetView>
  </sheetViews>
  <sheetFormatPr defaultColWidth="8.85546875" defaultRowHeight="15" x14ac:dyDescent="0.25"/>
  <cols>
    <col min="16" max="16" width="15.42578125" bestFit="1" customWidth="1"/>
  </cols>
  <sheetData>
    <row r="1" spans="1:16" x14ac:dyDescent="0.25">
      <c r="A1" s="43"/>
      <c r="B1" s="43" t="s">
        <v>3</v>
      </c>
      <c r="C1" s="43" t="s">
        <v>4</v>
      </c>
      <c r="D1" s="43" t="s">
        <v>5</v>
      </c>
      <c r="E1" s="43" t="s">
        <v>6</v>
      </c>
      <c r="F1" s="43" t="s">
        <v>7</v>
      </c>
      <c r="G1" s="43" t="s">
        <v>8</v>
      </c>
      <c r="H1" s="43" t="s">
        <v>9</v>
      </c>
      <c r="I1" s="43" t="s">
        <v>10</v>
      </c>
      <c r="J1" s="43" t="s">
        <v>11</v>
      </c>
      <c r="K1" s="43" t="s">
        <v>12</v>
      </c>
      <c r="L1" s="43" t="s">
        <v>13</v>
      </c>
      <c r="M1" s="43" t="s">
        <v>14</v>
      </c>
      <c r="N1" s="43"/>
      <c r="O1" s="43"/>
      <c r="P1" s="43"/>
    </row>
    <row r="2" spans="1:16" x14ac:dyDescent="0.25">
      <c r="A2" s="44" t="s">
        <v>75</v>
      </c>
      <c r="B2" s="44">
        <v>729.06000000000006</v>
      </c>
      <c r="C2" s="44">
        <v>648.19000000000005</v>
      </c>
      <c r="D2" s="44">
        <v>2218.2899999999991</v>
      </c>
      <c r="E2" s="44">
        <v>1291.25</v>
      </c>
      <c r="F2" s="44">
        <v>1948.9399999999998</v>
      </c>
      <c r="G2" s="44">
        <v>2856.5999999999995</v>
      </c>
      <c r="H2" s="44">
        <v>4412.4399999999996</v>
      </c>
      <c r="I2" s="44">
        <v>1844.9899999999996</v>
      </c>
      <c r="J2" s="44">
        <v>1472.8200000000002</v>
      </c>
      <c r="K2" s="44">
        <v>1155.6400000000001</v>
      </c>
      <c r="L2" s="44">
        <v>525.34999999999991</v>
      </c>
      <c r="M2" s="44">
        <v>212.99</v>
      </c>
      <c r="N2" s="44"/>
      <c r="O2" s="44"/>
      <c r="P2" s="44"/>
    </row>
    <row r="3" spans="1:16" x14ac:dyDescent="0.25">
      <c r="A3" s="44" t="s">
        <v>76</v>
      </c>
      <c r="B3" s="45">
        <v>1780.5</v>
      </c>
      <c r="C3" s="45">
        <v>1531.31</v>
      </c>
      <c r="D3" s="45">
        <v>3887.2400000000002</v>
      </c>
      <c r="E3" s="45">
        <v>1547.27</v>
      </c>
      <c r="F3" s="45">
        <v>3660.1499999999992</v>
      </c>
      <c r="G3" s="45">
        <v>2771.42</v>
      </c>
      <c r="H3" s="45">
        <v>6227.53</v>
      </c>
      <c r="I3" s="45">
        <v>8178.6100000000006</v>
      </c>
      <c r="J3" s="45">
        <v>1982.33</v>
      </c>
      <c r="K3" s="45">
        <v>6147.14</v>
      </c>
      <c r="L3" s="45">
        <v>3208.1</v>
      </c>
      <c r="M3" s="45">
        <v>2065.09</v>
      </c>
      <c r="N3" s="44"/>
      <c r="O3" s="44"/>
      <c r="P3" s="44"/>
    </row>
    <row r="4" spans="1:16" x14ac:dyDescent="0.25">
      <c r="A4" s="46" t="s">
        <v>77</v>
      </c>
      <c r="B4" s="43">
        <f>SUM(B2:B3)</f>
        <v>2509.56</v>
      </c>
      <c r="C4" s="43">
        <f t="shared" ref="C4:M4" si="0">SUM(C2:C3)</f>
        <v>2179.5</v>
      </c>
      <c r="D4" s="43">
        <f t="shared" si="0"/>
        <v>6105.5299999999988</v>
      </c>
      <c r="E4" s="43">
        <f t="shared" si="0"/>
        <v>2838.52</v>
      </c>
      <c r="F4" s="43">
        <f t="shared" si="0"/>
        <v>5609.0899999999992</v>
      </c>
      <c r="G4" s="43">
        <f t="shared" si="0"/>
        <v>5628.0199999999995</v>
      </c>
      <c r="H4" s="43">
        <f t="shared" si="0"/>
        <v>10639.97</v>
      </c>
      <c r="I4" s="43">
        <f t="shared" si="0"/>
        <v>10023.6</v>
      </c>
      <c r="J4" s="43">
        <f t="shared" si="0"/>
        <v>3455.15</v>
      </c>
      <c r="K4" s="43">
        <f t="shared" si="0"/>
        <v>7302.7800000000007</v>
      </c>
      <c r="L4" s="43">
        <f t="shared" si="0"/>
        <v>3733.45</v>
      </c>
      <c r="M4" s="43">
        <f t="shared" si="0"/>
        <v>2278.08</v>
      </c>
      <c r="N4" s="43">
        <f>SUM(B4:M4)</f>
        <v>62303.249999999993</v>
      </c>
      <c r="O4" s="43"/>
      <c r="P4" s="43"/>
    </row>
    <row r="5" spans="1:16" x14ac:dyDescent="0.25">
      <c r="A5" s="46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</row>
    <row r="6" spans="1:16" x14ac:dyDescent="0.25">
      <c r="A6" s="44" t="s">
        <v>75</v>
      </c>
      <c r="B6" s="44">
        <v>202.07000000000002</v>
      </c>
      <c r="C6" s="44">
        <v>652.50000000000011</v>
      </c>
      <c r="D6" s="44">
        <v>362.07</v>
      </c>
      <c r="E6" s="44">
        <v>1089.21</v>
      </c>
      <c r="F6" s="44">
        <v>1808.7199999999996</v>
      </c>
      <c r="G6" s="44">
        <v>1766.8899999999996</v>
      </c>
      <c r="H6" s="44">
        <v>6559.1999999999989</v>
      </c>
      <c r="I6" s="44">
        <v>3183.920000000001</v>
      </c>
      <c r="J6" s="44">
        <v>1738.1000000000001</v>
      </c>
      <c r="K6" s="44">
        <v>843.31</v>
      </c>
      <c r="L6" s="44">
        <v>685.43</v>
      </c>
      <c r="M6" s="44">
        <v>404.70999999999992</v>
      </c>
      <c r="N6" s="44"/>
      <c r="O6" s="44"/>
      <c r="P6" s="44"/>
    </row>
    <row r="7" spans="1:16" x14ac:dyDescent="0.25">
      <c r="A7" s="44" t="s">
        <v>76</v>
      </c>
      <c r="B7" s="45">
        <v>1127.83</v>
      </c>
      <c r="C7" s="45">
        <v>403.41999999999996</v>
      </c>
      <c r="D7" s="45">
        <v>757.74</v>
      </c>
      <c r="E7" s="45">
        <v>3213.7</v>
      </c>
      <c r="F7" s="45">
        <v>4492.7999999999993</v>
      </c>
      <c r="G7" s="45">
        <v>3095.05</v>
      </c>
      <c r="H7" s="45">
        <v>3770.99</v>
      </c>
      <c r="I7" s="45">
        <v>2998.47</v>
      </c>
      <c r="J7" s="45">
        <v>219.65</v>
      </c>
      <c r="K7" s="45">
        <v>969.93000000000018</v>
      </c>
      <c r="L7" s="45">
        <v>415.10999999999996</v>
      </c>
      <c r="M7" s="45">
        <v>935.49</v>
      </c>
      <c r="N7" s="44"/>
      <c r="O7" s="44"/>
      <c r="P7" s="44"/>
    </row>
    <row r="8" spans="1:16" x14ac:dyDescent="0.25">
      <c r="A8" s="46" t="s">
        <v>78</v>
      </c>
      <c r="B8" s="43">
        <f>SUM(B6:B7)</f>
        <v>1329.8999999999999</v>
      </c>
      <c r="C8" s="43">
        <f t="shared" ref="C8:M8" si="1">SUM(C6:C7)</f>
        <v>1055.92</v>
      </c>
      <c r="D8" s="43">
        <f t="shared" si="1"/>
        <v>1119.81</v>
      </c>
      <c r="E8" s="43">
        <f t="shared" si="1"/>
        <v>4302.91</v>
      </c>
      <c r="F8" s="43">
        <f t="shared" si="1"/>
        <v>6301.5199999999986</v>
      </c>
      <c r="G8" s="43">
        <f t="shared" si="1"/>
        <v>4861.9399999999996</v>
      </c>
      <c r="H8" s="43">
        <f t="shared" si="1"/>
        <v>10330.189999999999</v>
      </c>
      <c r="I8" s="43">
        <f t="shared" si="1"/>
        <v>6182.3900000000012</v>
      </c>
      <c r="J8" s="43">
        <f t="shared" si="1"/>
        <v>1957.7500000000002</v>
      </c>
      <c r="K8" s="43">
        <f t="shared" si="1"/>
        <v>1813.2400000000002</v>
      </c>
      <c r="L8" s="43">
        <f t="shared" si="1"/>
        <v>1100.54</v>
      </c>
      <c r="M8" s="43">
        <f t="shared" si="1"/>
        <v>1340.1999999999998</v>
      </c>
      <c r="N8" s="43">
        <f>SUM(B8:M8)</f>
        <v>41696.30999999999</v>
      </c>
      <c r="O8" s="43"/>
      <c r="P8" s="43"/>
    </row>
    <row r="9" spans="1:16" x14ac:dyDescent="0.25">
      <c r="A9" s="46"/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</row>
    <row r="10" spans="1:16" x14ac:dyDescent="0.25">
      <c r="A10" s="44" t="s">
        <v>75</v>
      </c>
      <c r="B10" s="47">
        <v>216.78</v>
      </c>
      <c r="C10" s="47">
        <v>635.68000000000018</v>
      </c>
      <c r="D10" s="47">
        <v>410.51000000000005</v>
      </c>
      <c r="E10" s="47">
        <v>884.16</v>
      </c>
      <c r="F10" s="47">
        <v>1520.7300000000002</v>
      </c>
      <c r="G10" s="47">
        <v>1251.6899999999996</v>
      </c>
      <c r="H10" s="48">
        <v>4129</v>
      </c>
      <c r="I10" s="48">
        <v>2426</v>
      </c>
      <c r="J10" s="48">
        <v>2000</v>
      </c>
      <c r="K10" s="48">
        <v>1500</v>
      </c>
      <c r="L10" s="48">
        <v>1000</v>
      </c>
      <c r="M10" s="48">
        <v>500</v>
      </c>
      <c r="N10" s="44"/>
      <c r="O10" s="44"/>
      <c r="P10" s="44"/>
    </row>
    <row r="11" spans="1:16" x14ac:dyDescent="0.25">
      <c r="A11" s="44" t="s">
        <v>76</v>
      </c>
      <c r="B11" s="45">
        <v>423.55</v>
      </c>
      <c r="C11" s="45">
        <v>360.14</v>
      </c>
      <c r="D11" s="45">
        <v>998.44999999999993</v>
      </c>
      <c r="E11" s="45">
        <v>600.94999999999993</v>
      </c>
      <c r="F11" s="45">
        <v>957.53</v>
      </c>
      <c r="G11" s="45">
        <v>1232.6499999999999</v>
      </c>
      <c r="H11" s="50">
        <v>1445</v>
      </c>
      <c r="I11" s="50">
        <v>4498</v>
      </c>
      <c r="J11" s="50">
        <v>2000</v>
      </c>
      <c r="K11" s="50">
        <v>1000</v>
      </c>
      <c r="L11" s="50">
        <v>900</v>
      </c>
      <c r="M11" s="50">
        <v>750</v>
      </c>
      <c r="N11" s="44"/>
      <c r="O11" s="44"/>
      <c r="P11" s="44"/>
    </row>
    <row r="12" spans="1:16" x14ac:dyDescent="0.25">
      <c r="A12" s="46" t="s">
        <v>79</v>
      </c>
      <c r="B12" s="43">
        <f>SUM(B10:B11)</f>
        <v>640.33000000000004</v>
      </c>
      <c r="C12" s="43">
        <f t="shared" ref="C12:M12" si="2">SUM(C10:C11)</f>
        <v>995.82000000000016</v>
      </c>
      <c r="D12" s="43">
        <f t="shared" si="2"/>
        <v>1408.96</v>
      </c>
      <c r="E12" s="43">
        <f t="shared" si="2"/>
        <v>1485.11</v>
      </c>
      <c r="F12" s="43">
        <f t="shared" si="2"/>
        <v>2478.2600000000002</v>
      </c>
      <c r="G12" s="43">
        <f t="shared" si="2"/>
        <v>2484.3399999999992</v>
      </c>
      <c r="H12" s="43">
        <f t="shared" si="2"/>
        <v>5574</v>
      </c>
      <c r="I12" s="43">
        <f t="shared" si="2"/>
        <v>6924</v>
      </c>
      <c r="J12" s="43">
        <f t="shared" si="2"/>
        <v>4000</v>
      </c>
      <c r="K12" s="43">
        <f t="shared" si="2"/>
        <v>2500</v>
      </c>
      <c r="L12" s="43">
        <f t="shared" si="2"/>
        <v>1900</v>
      </c>
      <c r="M12" s="43">
        <f t="shared" si="2"/>
        <v>1250</v>
      </c>
      <c r="N12" s="43">
        <f>SUM(B12:M12)</f>
        <v>31640.82</v>
      </c>
      <c r="O12" s="43"/>
    </row>
    <row r="13" spans="1:16" x14ac:dyDescent="0.25">
      <c r="A13" s="46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</row>
    <row r="14" spans="1:16" x14ac:dyDescent="0.25">
      <c r="A14" s="44" t="s">
        <v>75</v>
      </c>
      <c r="B14" s="48">
        <v>454</v>
      </c>
      <c r="C14" s="48">
        <v>170</v>
      </c>
      <c r="D14" s="48">
        <v>558</v>
      </c>
      <c r="E14" s="48">
        <v>1026</v>
      </c>
      <c r="F14" s="48">
        <v>1309</v>
      </c>
      <c r="G14" s="48">
        <v>1044</v>
      </c>
      <c r="H14" s="48">
        <v>2895</v>
      </c>
      <c r="I14" s="48">
        <v>1041</v>
      </c>
      <c r="J14" s="49">
        <v>1500</v>
      </c>
      <c r="K14" s="49">
        <f t="shared" ref="K14:M15" si="3">K10*(1+$P18)</f>
        <v>1694.9999999999998</v>
      </c>
      <c r="L14" s="49">
        <f t="shared" si="3"/>
        <v>1130</v>
      </c>
      <c r="M14" s="49">
        <f t="shared" si="3"/>
        <v>565</v>
      </c>
      <c r="N14" s="44"/>
      <c r="O14" s="44"/>
    </row>
    <row r="15" spans="1:16" x14ac:dyDescent="0.25">
      <c r="A15" s="44" t="s">
        <v>76</v>
      </c>
      <c r="B15" s="50">
        <v>120</v>
      </c>
      <c r="C15" s="50">
        <v>34</v>
      </c>
      <c r="D15" s="50">
        <v>0</v>
      </c>
      <c r="E15" s="50">
        <v>659</v>
      </c>
      <c r="F15" s="50">
        <v>1089</v>
      </c>
      <c r="G15" s="50">
        <v>1080</v>
      </c>
      <c r="H15" s="50">
        <v>403</v>
      </c>
      <c r="I15" s="50">
        <v>250</v>
      </c>
      <c r="J15" s="51">
        <v>0</v>
      </c>
      <c r="K15" s="51">
        <f t="shared" si="3"/>
        <v>1080</v>
      </c>
      <c r="L15" s="51">
        <f t="shared" si="3"/>
        <v>972.00000000000011</v>
      </c>
      <c r="M15" s="51">
        <f t="shared" si="3"/>
        <v>810</v>
      </c>
      <c r="N15" s="44"/>
      <c r="O15" s="44"/>
    </row>
    <row r="16" spans="1:16" x14ac:dyDescent="0.25">
      <c r="A16" s="54">
        <v>2025</v>
      </c>
      <c r="B16" s="43">
        <f>SUM(B14:B15)</f>
        <v>574</v>
      </c>
      <c r="C16" s="43">
        <f t="shared" ref="C16:M16" si="4">SUM(C14:C15)</f>
        <v>204</v>
      </c>
      <c r="D16" s="43">
        <f t="shared" si="4"/>
        <v>558</v>
      </c>
      <c r="E16" s="43">
        <f t="shared" si="4"/>
        <v>1685</v>
      </c>
      <c r="F16" s="43">
        <f t="shared" si="4"/>
        <v>2398</v>
      </c>
      <c r="G16" s="43">
        <f t="shared" si="4"/>
        <v>2124</v>
      </c>
      <c r="H16" s="43">
        <f t="shared" si="4"/>
        <v>3298</v>
      </c>
      <c r="I16" s="43">
        <f t="shared" si="4"/>
        <v>1291</v>
      </c>
      <c r="J16" s="43">
        <f t="shared" si="4"/>
        <v>1500</v>
      </c>
      <c r="K16" s="43">
        <f t="shared" si="4"/>
        <v>2775</v>
      </c>
      <c r="L16" s="43">
        <f t="shared" si="4"/>
        <v>2102</v>
      </c>
      <c r="M16" s="43">
        <f t="shared" si="4"/>
        <v>1375</v>
      </c>
      <c r="N16" s="43">
        <f>SUM(B16:M16)</f>
        <v>19884</v>
      </c>
      <c r="O16" s="43"/>
      <c r="P16" s="43" t="s">
        <v>80</v>
      </c>
    </row>
    <row r="17" spans="1:16" x14ac:dyDescent="0.25">
      <c r="A17" s="54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</row>
    <row r="18" spans="1:16" x14ac:dyDescent="0.25">
      <c r="A18" s="44" t="s">
        <v>75</v>
      </c>
      <c r="B18" s="52">
        <f>B14*(1+($P$18))</f>
        <v>513.02</v>
      </c>
      <c r="C18" s="52">
        <f t="shared" ref="C18:M18" si="5">C14*(1+($P$18))</f>
        <v>192.1</v>
      </c>
      <c r="D18" s="52">
        <f t="shared" si="5"/>
        <v>630.54</v>
      </c>
      <c r="E18" s="52">
        <f t="shared" si="5"/>
        <v>1159.3799999999999</v>
      </c>
      <c r="F18" s="52">
        <f t="shared" si="5"/>
        <v>1479.1699999999998</v>
      </c>
      <c r="G18" s="52">
        <f t="shared" si="5"/>
        <v>1179.7199999999998</v>
      </c>
      <c r="H18" s="52">
        <f t="shared" si="5"/>
        <v>3271.35</v>
      </c>
      <c r="I18" s="52">
        <f t="shared" si="5"/>
        <v>1176.33</v>
      </c>
      <c r="J18" s="52">
        <f t="shared" si="5"/>
        <v>1694.9999999999998</v>
      </c>
      <c r="K18" s="52">
        <f t="shared" si="5"/>
        <v>1915.3499999999995</v>
      </c>
      <c r="L18" s="52">
        <f t="shared" si="5"/>
        <v>1276.8999999999999</v>
      </c>
      <c r="M18" s="52">
        <f t="shared" si="5"/>
        <v>638.44999999999993</v>
      </c>
      <c r="N18" s="44"/>
      <c r="O18" s="43"/>
      <c r="P18" s="53">
        <v>0.13</v>
      </c>
    </row>
    <row r="19" spans="1:16" x14ac:dyDescent="0.25">
      <c r="A19" s="44" t="s">
        <v>76</v>
      </c>
      <c r="B19" s="89">
        <f>B15*(1+($P$19))</f>
        <v>129.60000000000002</v>
      </c>
      <c r="C19" s="89">
        <f t="shared" ref="C19:M19" si="6">C15*(1+($P$19))</f>
        <v>36.72</v>
      </c>
      <c r="D19" s="89">
        <f t="shared" si="6"/>
        <v>0</v>
      </c>
      <c r="E19" s="89">
        <f t="shared" si="6"/>
        <v>711.72</v>
      </c>
      <c r="F19" s="89">
        <f t="shared" si="6"/>
        <v>1176.1200000000001</v>
      </c>
      <c r="G19" s="89">
        <f t="shared" si="6"/>
        <v>1166.4000000000001</v>
      </c>
      <c r="H19" s="89">
        <f t="shared" si="6"/>
        <v>435.24</v>
      </c>
      <c r="I19" s="89">
        <f t="shared" si="6"/>
        <v>270</v>
      </c>
      <c r="J19" s="89">
        <f t="shared" si="6"/>
        <v>0</v>
      </c>
      <c r="K19" s="89">
        <f t="shared" si="6"/>
        <v>1166.4000000000001</v>
      </c>
      <c r="L19" s="89">
        <f t="shared" si="6"/>
        <v>1049.7600000000002</v>
      </c>
      <c r="M19" s="89">
        <f t="shared" si="6"/>
        <v>874.80000000000007</v>
      </c>
      <c r="N19" s="44"/>
      <c r="O19" s="43"/>
      <c r="P19" s="53">
        <v>0.08</v>
      </c>
    </row>
    <row r="20" spans="1:16" x14ac:dyDescent="0.25">
      <c r="A20" s="54" t="s">
        <v>81</v>
      </c>
      <c r="B20" s="43">
        <f>SUM(B18:B19)</f>
        <v>642.62</v>
      </c>
      <c r="C20" s="43">
        <f t="shared" ref="C20:M20" si="7">SUM(C18:C19)</f>
        <v>228.82</v>
      </c>
      <c r="D20" s="43">
        <f t="shared" si="7"/>
        <v>630.54</v>
      </c>
      <c r="E20" s="43">
        <f t="shared" si="7"/>
        <v>1871.1</v>
      </c>
      <c r="F20" s="43">
        <f t="shared" si="7"/>
        <v>2655.29</v>
      </c>
      <c r="G20" s="43">
        <f t="shared" si="7"/>
        <v>2346.12</v>
      </c>
      <c r="H20" s="43">
        <f t="shared" si="7"/>
        <v>3706.59</v>
      </c>
      <c r="I20" s="43">
        <f>I18+I19</f>
        <v>1446.33</v>
      </c>
      <c r="J20" s="43">
        <f t="shared" si="7"/>
        <v>1694.9999999999998</v>
      </c>
      <c r="K20" s="43">
        <f t="shared" si="7"/>
        <v>3081.7499999999995</v>
      </c>
      <c r="L20" s="43">
        <f t="shared" si="7"/>
        <v>2326.66</v>
      </c>
      <c r="M20" s="43">
        <f t="shared" si="7"/>
        <v>1513.25</v>
      </c>
      <c r="N20" s="43">
        <f>SUM(B20:M20)</f>
        <v>22144.07</v>
      </c>
      <c r="O20" s="44"/>
      <c r="P20" s="44"/>
    </row>
    <row r="21" spans="1:16" x14ac:dyDescent="0.25">
      <c r="A21" s="54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  <c r="P21" s="44"/>
    </row>
    <row r="22" spans="1:16" x14ac:dyDescent="0.25">
      <c r="A22" s="44" t="s">
        <v>82</v>
      </c>
      <c r="B22" s="55">
        <v>4</v>
      </c>
      <c r="C22" s="56">
        <f>B22</f>
        <v>4</v>
      </c>
      <c r="D22" s="56">
        <f t="shared" ref="D22:M22" si="8">C22</f>
        <v>4</v>
      </c>
      <c r="E22" s="56">
        <f t="shared" si="8"/>
        <v>4</v>
      </c>
      <c r="F22" s="56">
        <f t="shared" si="8"/>
        <v>4</v>
      </c>
      <c r="G22" s="56">
        <f t="shared" si="8"/>
        <v>4</v>
      </c>
      <c r="H22" s="56">
        <f t="shared" si="8"/>
        <v>4</v>
      </c>
      <c r="I22" s="56">
        <f t="shared" si="8"/>
        <v>4</v>
      </c>
      <c r="J22" s="56">
        <f t="shared" si="8"/>
        <v>4</v>
      </c>
      <c r="K22" s="56">
        <f t="shared" si="8"/>
        <v>4</v>
      </c>
      <c r="L22" s="56">
        <f t="shared" si="8"/>
        <v>4</v>
      </c>
      <c r="M22" s="56">
        <f t="shared" si="8"/>
        <v>4</v>
      </c>
      <c r="N22" s="44"/>
      <c r="O22" s="44"/>
      <c r="P22" s="44"/>
    </row>
    <row r="23" spans="1:16" x14ac:dyDescent="0.25">
      <c r="A23" s="44" t="s">
        <v>83</v>
      </c>
      <c r="B23" s="55">
        <v>2.96</v>
      </c>
      <c r="C23" s="56">
        <f>B23</f>
        <v>2.96</v>
      </c>
      <c r="D23" s="56">
        <f t="shared" ref="D23:M23" si="9">C23</f>
        <v>2.96</v>
      </c>
      <c r="E23" s="56">
        <f t="shared" si="9"/>
        <v>2.96</v>
      </c>
      <c r="F23" s="56">
        <f t="shared" si="9"/>
        <v>2.96</v>
      </c>
      <c r="G23" s="56">
        <f t="shared" si="9"/>
        <v>2.96</v>
      </c>
      <c r="H23" s="56">
        <f t="shared" si="9"/>
        <v>2.96</v>
      </c>
      <c r="I23" s="56">
        <f t="shared" si="9"/>
        <v>2.96</v>
      </c>
      <c r="J23" s="56">
        <f t="shared" si="9"/>
        <v>2.96</v>
      </c>
      <c r="K23" s="56">
        <f t="shared" si="9"/>
        <v>2.96</v>
      </c>
      <c r="L23" s="56">
        <f t="shared" si="9"/>
        <v>2.96</v>
      </c>
      <c r="M23" s="56">
        <f t="shared" si="9"/>
        <v>2.96</v>
      </c>
      <c r="N23" s="44"/>
      <c r="O23" s="44"/>
      <c r="P23" s="44"/>
    </row>
    <row r="24" spans="1:16" x14ac:dyDescent="0.25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</row>
    <row r="25" spans="1:16" x14ac:dyDescent="0.25">
      <c r="A25" s="44" t="s">
        <v>84</v>
      </c>
      <c r="B25" s="55">
        <v>1.1000000000000001</v>
      </c>
      <c r="C25" s="56">
        <f>B25</f>
        <v>1.1000000000000001</v>
      </c>
      <c r="D25" s="56">
        <f t="shared" ref="D25:M25" si="10">C25</f>
        <v>1.1000000000000001</v>
      </c>
      <c r="E25" s="56">
        <f t="shared" si="10"/>
        <v>1.1000000000000001</v>
      </c>
      <c r="F25" s="56">
        <f t="shared" si="10"/>
        <v>1.1000000000000001</v>
      </c>
      <c r="G25" s="56">
        <f t="shared" si="10"/>
        <v>1.1000000000000001</v>
      </c>
      <c r="H25" s="56">
        <f t="shared" si="10"/>
        <v>1.1000000000000001</v>
      </c>
      <c r="I25" s="56">
        <f t="shared" si="10"/>
        <v>1.1000000000000001</v>
      </c>
      <c r="J25" s="56">
        <f t="shared" si="10"/>
        <v>1.1000000000000001</v>
      </c>
      <c r="K25" s="56">
        <f t="shared" si="10"/>
        <v>1.1000000000000001</v>
      </c>
      <c r="L25" s="56">
        <f t="shared" si="10"/>
        <v>1.1000000000000001</v>
      </c>
      <c r="M25" s="56">
        <f t="shared" si="10"/>
        <v>1.1000000000000001</v>
      </c>
      <c r="N25" s="44"/>
      <c r="O25" s="44"/>
      <c r="P25" s="44"/>
    </row>
    <row r="26" spans="1:16" x14ac:dyDescent="0.25">
      <c r="A26" s="44" t="s">
        <v>85</v>
      </c>
      <c r="B26" s="55">
        <v>1.75</v>
      </c>
      <c r="C26" s="56">
        <f>B26</f>
        <v>1.75</v>
      </c>
      <c r="D26" s="56">
        <f t="shared" ref="D26:M26" si="11">C26</f>
        <v>1.75</v>
      </c>
      <c r="E26" s="56">
        <f t="shared" si="11"/>
        <v>1.75</v>
      </c>
      <c r="F26" s="56">
        <f t="shared" si="11"/>
        <v>1.75</v>
      </c>
      <c r="G26" s="56">
        <f t="shared" si="11"/>
        <v>1.75</v>
      </c>
      <c r="H26" s="56">
        <f t="shared" si="11"/>
        <v>1.75</v>
      </c>
      <c r="I26" s="56">
        <f t="shared" si="11"/>
        <v>1.75</v>
      </c>
      <c r="J26" s="56">
        <f t="shared" si="11"/>
        <v>1.75</v>
      </c>
      <c r="K26" s="56">
        <f t="shared" si="11"/>
        <v>1.75</v>
      </c>
      <c r="L26" s="56">
        <f t="shared" si="11"/>
        <v>1.75</v>
      </c>
      <c r="M26" s="56">
        <f t="shared" si="11"/>
        <v>1.75</v>
      </c>
      <c r="N26" s="44"/>
      <c r="O26" s="44"/>
      <c r="P26" s="44"/>
    </row>
  </sheetData>
  <pageMargins left="0.7" right="0.7" top="0.75" bottom="0.75" header="0.3" footer="0.3"/>
  <ignoredErrors>
    <ignoredError sqref="I20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EDFBB-8AE0-1943-97D8-F41A4D7DB16A}">
  <sheetPr filterMode="1"/>
  <dimension ref="A1:M42"/>
  <sheetViews>
    <sheetView workbookViewId="0">
      <selection activeCell="J31" sqref="J31:J33"/>
    </sheetView>
  </sheetViews>
  <sheetFormatPr defaultColWidth="10.85546875" defaultRowHeight="15.75" x14ac:dyDescent="0.25"/>
  <cols>
    <col min="1" max="16384" width="10.85546875" style="90"/>
  </cols>
  <sheetData>
    <row r="1" spans="1:13" x14ac:dyDescent="0.25">
      <c r="A1" s="90" t="s">
        <v>306</v>
      </c>
      <c r="B1" s="90" t="s">
        <v>305</v>
      </c>
      <c r="C1" s="90" t="s">
        <v>304</v>
      </c>
      <c r="D1" s="90" t="s">
        <v>303</v>
      </c>
      <c r="E1" s="90" t="s">
        <v>302</v>
      </c>
      <c r="F1" s="90" t="s">
        <v>301</v>
      </c>
      <c r="G1" s="90" t="s">
        <v>300</v>
      </c>
      <c r="H1" s="90" t="s">
        <v>299</v>
      </c>
      <c r="I1" s="90" t="s">
        <v>298</v>
      </c>
      <c r="J1" s="90" t="s">
        <v>297</v>
      </c>
      <c r="K1" s="90" t="s">
        <v>296</v>
      </c>
      <c r="L1" s="90" t="s">
        <v>295</v>
      </c>
      <c r="M1" s="90" t="s">
        <v>294</v>
      </c>
    </row>
    <row r="2" spans="1:13" x14ac:dyDescent="0.25">
      <c r="A2" s="90" t="s">
        <v>262</v>
      </c>
      <c r="B2" s="90" t="s">
        <v>261</v>
      </c>
      <c r="C2" s="90" t="s">
        <v>260</v>
      </c>
      <c r="D2" s="90" t="s">
        <v>259</v>
      </c>
      <c r="E2" s="90">
        <v>175</v>
      </c>
      <c r="F2" s="90" t="s">
        <v>104</v>
      </c>
      <c r="G2" s="90" t="b">
        <v>1</v>
      </c>
      <c r="I2" s="90" t="s">
        <v>112</v>
      </c>
      <c r="J2" s="90" t="s">
        <v>258</v>
      </c>
      <c r="K2" s="90" t="s">
        <v>257</v>
      </c>
      <c r="L2" s="90" t="s">
        <v>256</v>
      </c>
      <c r="M2" s="90" t="s">
        <v>255</v>
      </c>
    </row>
    <row r="3" spans="1:13" x14ac:dyDescent="0.25">
      <c r="A3" s="90" t="s">
        <v>199</v>
      </c>
      <c r="B3" s="90" t="s">
        <v>198</v>
      </c>
      <c r="C3" s="90" t="s">
        <v>197</v>
      </c>
      <c r="D3" s="90" t="s">
        <v>196</v>
      </c>
      <c r="E3" s="90">
        <v>175</v>
      </c>
      <c r="F3" s="90" t="s">
        <v>120</v>
      </c>
      <c r="G3" s="90" t="b">
        <v>1</v>
      </c>
      <c r="I3" s="90" t="s">
        <v>112</v>
      </c>
      <c r="K3" s="90" t="s">
        <v>195</v>
      </c>
      <c r="L3" s="90" t="s">
        <v>194</v>
      </c>
      <c r="M3" s="90" t="s">
        <v>193</v>
      </c>
    </row>
    <row r="4" spans="1:13" x14ac:dyDescent="0.25">
      <c r="A4" s="90" t="s">
        <v>124</v>
      </c>
      <c r="B4" s="90" t="s">
        <v>123</v>
      </c>
      <c r="C4" s="90" t="s">
        <v>122</v>
      </c>
      <c r="D4" s="90" t="s">
        <v>121</v>
      </c>
      <c r="E4" s="90">
        <v>175</v>
      </c>
      <c r="F4" s="90" t="s">
        <v>149</v>
      </c>
      <c r="G4" s="90" t="b">
        <v>1</v>
      </c>
      <c r="I4" s="90" t="s">
        <v>112</v>
      </c>
      <c r="K4" s="90" t="s">
        <v>119</v>
      </c>
      <c r="L4" s="90" t="s">
        <v>118</v>
      </c>
      <c r="M4" s="90" t="s">
        <v>117</v>
      </c>
    </row>
    <row r="5" spans="1:13" x14ac:dyDescent="0.25">
      <c r="A5" s="90" t="s">
        <v>145</v>
      </c>
      <c r="B5" s="90" t="s">
        <v>144</v>
      </c>
      <c r="C5" s="90" t="s">
        <v>143</v>
      </c>
      <c r="D5" s="90" t="s">
        <v>142</v>
      </c>
      <c r="E5" s="90">
        <v>250</v>
      </c>
      <c r="F5" s="90" t="s">
        <v>120</v>
      </c>
      <c r="G5" s="90" t="b">
        <v>1</v>
      </c>
      <c r="I5" s="90" t="s">
        <v>112</v>
      </c>
      <c r="J5" s="90" t="s">
        <v>141</v>
      </c>
      <c r="K5" s="90" t="s">
        <v>140</v>
      </c>
      <c r="L5" s="90" t="s">
        <v>139</v>
      </c>
      <c r="M5" s="90" t="s">
        <v>138</v>
      </c>
    </row>
    <row r="6" spans="1:13" x14ac:dyDescent="0.25">
      <c r="A6" s="90" t="s">
        <v>230</v>
      </c>
      <c r="B6" s="90" t="s">
        <v>229</v>
      </c>
      <c r="C6" s="90" t="s">
        <v>228</v>
      </c>
      <c r="D6" s="90" t="s">
        <v>227</v>
      </c>
      <c r="E6" s="90">
        <v>250</v>
      </c>
      <c r="F6" s="90" t="s">
        <v>120</v>
      </c>
      <c r="G6" s="90" t="b">
        <v>1</v>
      </c>
      <c r="I6" s="90" t="s">
        <v>112</v>
      </c>
      <c r="K6" s="90" t="s">
        <v>226</v>
      </c>
      <c r="L6" s="90" t="s">
        <v>225</v>
      </c>
      <c r="M6" s="90" t="s">
        <v>224</v>
      </c>
    </row>
    <row r="7" spans="1:13" x14ac:dyDescent="0.25">
      <c r="A7" s="90" t="s">
        <v>163</v>
      </c>
      <c r="B7" s="90" t="s">
        <v>233</v>
      </c>
      <c r="C7" s="90" t="s">
        <v>232</v>
      </c>
      <c r="D7" s="90" t="s">
        <v>231</v>
      </c>
      <c r="E7" s="90">
        <v>250</v>
      </c>
      <c r="F7" s="90" t="s">
        <v>149</v>
      </c>
      <c r="G7" s="90" t="b">
        <v>1</v>
      </c>
      <c r="I7" s="90" t="s">
        <v>112</v>
      </c>
      <c r="K7" s="90" t="s">
        <v>158</v>
      </c>
      <c r="L7" s="90" t="s">
        <v>157</v>
      </c>
      <c r="M7" s="90" t="s">
        <v>156</v>
      </c>
    </row>
    <row r="8" spans="1:13" x14ac:dyDescent="0.25">
      <c r="A8" s="90" t="s">
        <v>137</v>
      </c>
      <c r="B8" s="90" t="s">
        <v>136</v>
      </c>
      <c r="D8" s="90" t="s">
        <v>135</v>
      </c>
      <c r="E8" s="90">
        <v>175</v>
      </c>
      <c r="F8" s="90" t="s">
        <v>104</v>
      </c>
      <c r="G8" s="90" t="b">
        <v>1</v>
      </c>
      <c r="I8" s="90" t="s">
        <v>112</v>
      </c>
      <c r="K8" s="90" t="s">
        <v>134</v>
      </c>
      <c r="L8" s="90" t="s">
        <v>133</v>
      </c>
      <c r="M8" s="90" t="s">
        <v>132</v>
      </c>
    </row>
    <row r="9" spans="1:13" hidden="1" x14ac:dyDescent="0.25">
      <c r="A9" s="90" t="s">
        <v>192</v>
      </c>
      <c r="B9" s="90" t="s">
        <v>191</v>
      </c>
      <c r="C9" s="90" t="s">
        <v>122</v>
      </c>
      <c r="D9" s="90" t="s">
        <v>190</v>
      </c>
      <c r="E9" s="90">
        <v>175</v>
      </c>
      <c r="F9" s="90" t="s">
        <v>149</v>
      </c>
      <c r="G9" s="90" t="b">
        <v>1</v>
      </c>
      <c r="I9" s="90" t="s">
        <v>127</v>
      </c>
      <c r="J9" s="90" t="s">
        <v>189</v>
      </c>
      <c r="K9" s="90" t="s">
        <v>188</v>
      </c>
      <c r="L9" s="90">
        <v>6085747682</v>
      </c>
      <c r="M9" s="90" t="s">
        <v>187</v>
      </c>
    </row>
    <row r="10" spans="1:13" x14ac:dyDescent="0.25">
      <c r="A10" s="90" t="s">
        <v>124</v>
      </c>
      <c r="B10" s="90" t="s">
        <v>265</v>
      </c>
      <c r="C10" s="90" t="s">
        <v>264</v>
      </c>
      <c r="D10" s="90" t="s">
        <v>263</v>
      </c>
      <c r="E10" s="90">
        <v>175</v>
      </c>
      <c r="F10" s="90" t="s">
        <v>149</v>
      </c>
      <c r="G10" s="90" t="b">
        <v>1</v>
      </c>
      <c r="I10" s="90" t="s">
        <v>112</v>
      </c>
      <c r="K10" s="90" t="s">
        <v>119</v>
      </c>
      <c r="L10" s="90" t="s">
        <v>118</v>
      </c>
      <c r="M10" s="90" t="s">
        <v>117</v>
      </c>
    </row>
    <row r="11" spans="1:13" x14ac:dyDescent="0.25">
      <c r="A11" s="90" t="s">
        <v>223</v>
      </c>
      <c r="B11" s="90" t="s">
        <v>222</v>
      </c>
      <c r="C11" s="90" t="s">
        <v>221</v>
      </c>
      <c r="D11" s="90" t="s">
        <v>220</v>
      </c>
      <c r="E11" s="90">
        <v>250</v>
      </c>
      <c r="F11" s="90" t="s">
        <v>104</v>
      </c>
      <c r="G11" s="90" t="b">
        <v>1</v>
      </c>
      <c r="I11" s="90" t="s">
        <v>112</v>
      </c>
      <c r="J11" s="90" t="s">
        <v>309</v>
      </c>
      <c r="K11" s="90" t="s">
        <v>219</v>
      </c>
      <c r="L11" s="90" t="s">
        <v>218</v>
      </c>
      <c r="M11" s="90" t="s">
        <v>217</v>
      </c>
    </row>
    <row r="12" spans="1:13" x14ac:dyDescent="0.25">
      <c r="A12" s="90" t="s">
        <v>216</v>
      </c>
      <c r="B12" s="90" t="s">
        <v>215</v>
      </c>
      <c r="C12" s="90" t="s">
        <v>214</v>
      </c>
      <c r="D12" s="90" t="s">
        <v>213</v>
      </c>
      <c r="E12" s="90">
        <v>250</v>
      </c>
      <c r="F12" s="90" t="s">
        <v>120</v>
      </c>
      <c r="G12" s="90" t="b">
        <v>1</v>
      </c>
      <c r="I12" s="90" t="s">
        <v>112</v>
      </c>
      <c r="K12" s="90" t="s">
        <v>212</v>
      </c>
      <c r="L12" s="90" t="s">
        <v>211</v>
      </c>
      <c r="M12" s="90" t="s">
        <v>210</v>
      </c>
    </row>
    <row r="13" spans="1:13" x14ac:dyDescent="0.25">
      <c r="A13" s="90" t="s">
        <v>240</v>
      </c>
      <c r="B13" s="90" t="s">
        <v>239</v>
      </c>
      <c r="C13" s="90" t="s">
        <v>238</v>
      </c>
      <c r="D13" s="90" t="s">
        <v>237</v>
      </c>
      <c r="E13" s="90">
        <v>250</v>
      </c>
      <c r="F13" s="90" t="s">
        <v>120</v>
      </c>
      <c r="G13" s="90" t="b">
        <v>1</v>
      </c>
      <c r="I13" s="90" t="s">
        <v>112</v>
      </c>
      <c r="K13" s="90" t="s">
        <v>236</v>
      </c>
      <c r="L13" s="90" t="s">
        <v>235</v>
      </c>
      <c r="M13" s="90" t="s">
        <v>234</v>
      </c>
    </row>
    <row r="14" spans="1:13" x14ac:dyDescent="0.25">
      <c r="A14" s="90" t="s">
        <v>204</v>
      </c>
      <c r="B14" s="90" t="s">
        <v>203</v>
      </c>
      <c r="E14" s="90">
        <v>120</v>
      </c>
      <c r="F14" s="90" t="s">
        <v>104</v>
      </c>
      <c r="G14" s="90" t="b">
        <v>1</v>
      </c>
      <c r="I14" s="90" t="s">
        <v>112</v>
      </c>
      <c r="K14" s="90" t="s">
        <v>202</v>
      </c>
      <c r="L14" s="90" t="s">
        <v>201</v>
      </c>
      <c r="M14" s="90" t="s">
        <v>200</v>
      </c>
    </row>
    <row r="15" spans="1:13" x14ac:dyDescent="0.25">
      <c r="A15" s="90" t="s">
        <v>209</v>
      </c>
      <c r="B15" s="90" t="s">
        <v>208</v>
      </c>
      <c r="E15" s="90">
        <v>120</v>
      </c>
      <c r="F15" s="90" t="s">
        <v>149</v>
      </c>
      <c r="G15" s="90" t="b">
        <v>1</v>
      </c>
      <c r="I15" s="90" t="s">
        <v>112</v>
      </c>
      <c r="K15" s="90" t="s">
        <v>207</v>
      </c>
      <c r="L15" s="90" t="s">
        <v>206</v>
      </c>
      <c r="M15" s="90" t="s">
        <v>205</v>
      </c>
    </row>
    <row r="16" spans="1:13" x14ac:dyDescent="0.25">
      <c r="A16" s="90" t="s">
        <v>293</v>
      </c>
      <c r="B16" s="90" t="s">
        <v>292</v>
      </c>
      <c r="C16" s="90" t="s">
        <v>291</v>
      </c>
      <c r="D16" s="90" t="s">
        <v>290</v>
      </c>
      <c r="E16" s="90">
        <v>250</v>
      </c>
      <c r="F16" s="90" t="s">
        <v>149</v>
      </c>
      <c r="G16" s="90" t="b">
        <v>1</v>
      </c>
      <c r="I16" s="90" t="s">
        <v>112</v>
      </c>
      <c r="J16" s="90" t="s">
        <v>308</v>
      </c>
      <c r="K16" s="90" t="s">
        <v>289</v>
      </c>
      <c r="L16" s="90" t="s">
        <v>288</v>
      </c>
      <c r="M16" s="90" t="s">
        <v>287</v>
      </c>
    </row>
    <row r="17" spans="1:13" x14ac:dyDescent="0.25">
      <c r="A17" s="90" t="s">
        <v>286</v>
      </c>
      <c r="B17" s="90" t="s">
        <v>285</v>
      </c>
      <c r="C17" s="90" t="s">
        <v>284</v>
      </c>
      <c r="D17" s="90" t="s">
        <v>283</v>
      </c>
      <c r="E17" s="90">
        <v>250</v>
      </c>
      <c r="F17" s="90" t="s">
        <v>104</v>
      </c>
      <c r="G17" s="90" t="b">
        <v>1</v>
      </c>
      <c r="I17" s="90" t="s">
        <v>112</v>
      </c>
      <c r="K17" s="90" t="s">
        <v>282</v>
      </c>
      <c r="L17" s="90" t="s">
        <v>281</v>
      </c>
      <c r="M17" s="90" t="s">
        <v>280</v>
      </c>
    </row>
    <row r="18" spans="1:13" x14ac:dyDescent="0.25">
      <c r="A18" s="90" t="s">
        <v>279</v>
      </c>
      <c r="B18" s="90" t="s">
        <v>278</v>
      </c>
      <c r="C18" s="90" t="s">
        <v>277</v>
      </c>
      <c r="D18" s="90" t="s">
        <v>276</v>
      </c>
      <c r="E18" s="90">
        <v>250</v>
      </c>
      <c r="F18" s="90" t="s">
        <v>104</v>
      </c>
      <c r="G18" s="90" t="b">
        <v>1</v>
      </c>
      <c r="I18" s="90" t="s">
        <v>112</v>
      </c>
      <c r="K18" s="90" t="s">
        <v>275</v>
      </c>
      <c r="L18" s="90" t="s">
        <v>274</v>
      </c>
      <c r="M18" s="90" t="s">
        <v>273</v>
      </c>
    </row>
    <row r="19" spans="1:13" x14ac:dyDescent="0.25">
      <c r="A19" s="90" t="s">
        <v>163</v>
      </c>
      <c r="B19" s="90" t="s">
        <v>162</v>
      </c>
      <c r="C19" s="90" t="s">
        <v>161</v>
      </c>
      <c r="D19" s="90" t="s">
        <v>160</v>
      </c>
      <c r="E19" s="90">
        <v>250</v>
      </c>
      <c r="F19" s="90" t="s">
        <v>120</v>
      </c>
      <c r="G19" s="90" t="b">
        <v>1</v>
      </c>
      <c r="I19" s="90" t="s">
        <v>112</v>
      </c>
      <c r="J19" s="90" t="s">
        <v>159</v>
      </c>
      <c r="K19" s="90" t="s">
        <v>158</v>
      </c>
      <c r="L19" s="90" t="s">
        <v>157</v>
      </c>
      <c r="M19" s="90" t="s">
        <v>156</v>
      </c>
    </row>
    <row r="20" spans="1:13" hidden="1" x14ac:dyDescent="0.25">
      <c r="A20" s="90" t="s">
        <v>272</v>
      </c>
      <c r="B20" s="90" t="s">
        <v>115</v>
      </c>
      <c r="C20" s="90" t="s">
        <v>271</v>
      </c>
      <c r="D20" s="90" t="s">
        <v>270</v>
      </c>
      <c r="E20" s="90">
        <v>250</v>
      </c>
      <c r="F20" s="90" t="s">
        <v>120</v>
      </c>
      <c r="G20" s="90" t="b">
        <v>1</v>
      </c>
      <c r="I20" s="90" t="s">
        <v>127</v>
      </c>
      <c r="J20" s="90" t="s">
        <v>269</v>
      </c>
      <c r="K20" s="90" t="s">
        <v>268</v>
      </c>
      <c r="L20" s="90" t="s">
        <v>267</v>
      </c>
      <c r="M20" s="90" t="s">
        <v>266</v>
      </c>
    </row>
    <row r="21" spans="1:13" x14ac:dyDescent="0.25">
      <c r="A21" s="90" t="s">
        <v>116</v>
      </c>
      <c r="B21" s="90" t="s">
        <v>115</v>
      </c>
      <c r="C21" s="90" t="s">
        <v>114</v>
      </c>
      <c r="D21" s="90" t="s">
        <v>113</v>
      </c>
      <c r="E21" s="90">
        <v>250</v>
      </c>
      <c r="F21" s="90" t="s">
        <v>104</v>
      </c>
      <c r="G21" s="90" t="b">
        <v>1</v>
      </c>
      <c r="I21" s="90" t="s">
        <v>112</v>
      </c>
      <c r="K21" s="90" t="s">
        <v>111</v>
      </c>
      <c r="L21" s="90" t="s">
        <v>110</v>
      </c>
      <c r="M21" s="90" t="s">
        <v>109</v>
      </c>
    </row>
    <row r="22" spans="1:13" x14ac:dyDescent="0.25">
      <c r="A22" s="90" t="s">
        <v>108</v>
      </c>
      <c r="B22" s="90" t="s">
        <v>107</v>
      </c>
      <c r="C22" s="90" t="s">
        <v>106</v>
      </c>
      <c r="D22" s="90" t="s">
        <v>105</v>
      </c>
      <c r="E22" s="90">
        <v>250</v>
      </c>
      <c r="F22" s="90" t="s">
        <v>104</v>
      </c>
      <c r="G22" s="90" t="b">
        <v>1</v>
      </c>
      <c r="I22" s="90" t="s">
        <v>112</v>
      </c>
      <c r="L22" s="90" t="s">
        <v>103</v>
      </c>
      <c r="M22" s="90" t="s">
        <v>102</v>
      </c>
    </row>
    <row r="23" spans="1:13" hidden="1" x14ac:dyDescent="0.25">
      <c r="A23" s="90" t="s">
        <v>131</v>
      </c>
      <c r="B23" s="90" t="s">
        <v>130</v>
      </c>
      <c r="C23" s="90" t="s">
        <v>129</v>
      </c>
      <c r="D23" s="90" t="s">
        <v>128</v>
      </c>
      <c r="E23" s="90">
        <v>250</v>
      </c>
      <c r="F23" s="90" t="s">
        <v>104</v>
      </c>
      <c r="G23" s="90" t="b">
        <v>1</v>
      </c>
      <c r="I23" s="90" t="s">
        <v>127</v>
      </c>
      <c r="K23" s="90" t="s">
        <v>126</v>
      </c>
      <c r="M23" s="90" t="s">
        <v>125</v>
      </c>
    </row>
    <row r="24" spans="1:13" x14ac:dyDescent="0.25">
      <c r="A24" s="90" t="s">
        <v>254</v>
      </c>
      <c r="B24" s="90" t="s">
        <v>253</v>
      </c>
      <c r="C24" s="90" t="s">
        <v>252</v>
      </c>
      <c r="D24" s="90" t="s">
        <v>251</v>
      </c>
      <c r="E24" s="90">
        <v>250</v>
      </c>
      <c r="F24" s="90" t="s">
        <v>104</v>
      </c>
      <c r="G24" s="90" t="b">
        <v>1</v>
      </c>
      <c r="I24" s="90" t="s">
        <v>112</v>
      </c>
      <c r="J24" s="90" t="s">
        <v>250</v>
      </c>
      <c r="K24" s="90" t="s">
        <v>249</v>
      </c>
      <c r="L24" s="90" t="s">
        <v>248</v>
      </c>
      <c r="M24" s="90" t="s">
        <v>247</v>
      </c>
    </row>
    <row r="25" spans="1:13" x14ac:dyDescent="0.25">
      <c r="A25" s="90" t="s">
        <v>170</v>
      </c>
      <c r="B25" s="90" t="s">
        <v>169</v>
      </c>
      <c r="C25" s="90" t="s">
        <v>168</v>
      </c>
      <c r="D25" s="90" t="s">
        <v>167</v>
      </c>
      <c r="E25" s="90">
        <v>250</v>
      </c>
      <c r="F25" s="90" t="s">
        <v>104</v>
      </c>
      <c r="G25" s="90" t="b">
        <v>1</v>
      </c>
      <c r="I25" s="90" t="s">
        <v>112</v>
      </c>
      <c r="K25" s="90" t="s">
        <v>166</v>
      </c>
      <c r="L25" s="90" t="s">
        <v>165</v>
      </c>
      <c r="M25" s="90" t="s">
        <v>164</v>
      </c>
    </row>
    <row r="26" spans="1:13" x14ac:dyDescent="0.25">
      <c r="A26" s="90" t="s">
        <v>163</v>
      </c>
      <c r="B26" s="90" t="s">
        <v>241</v>
      </c>
      <c r="E26" s="90">
        <v>120</v>
      </c>
      <c r="F26" s="90" t="s">
        <v>120</v>
      </c>
      <c r="G26" s="90" t="b">
        <v>1</v>
      </c>
      <c r="I26" s="90" t="s">
        <v>112</v>
      </c>
      <c r="K26" s="90" t="s">
        <v>158</v>
      </c>
      <c r="L26" s="90" t="s">
        <v>157</v>
      </c>
      <c r="M26" s="90" t="s">
        <v>156</v>
      </c>
    </row>
    <row r="27" spans="1:13" x14ac:dyDescent="0.25">
      <c r="A27" s="90" t="s">
        <v>246</v>
      </c>
      <c r="B27" s="90" t="s">
        <v>245</v>
      </c>
      <c r="E27" s="90">
        <v>120</v>
      </c>
      <c r="F27" s="90" t="s">
        <v>149</v>
      </c>
      <c r="G27" s="90" t="b">
        <v>1</v>
      </c>
      <c r="I27" s="90" t="s">
        <v>112</v>
      </c>
      <c r="K27" s="90" t="s">
        <v>244</v>
      </c>
      <c r="L27" s="90" t="s">
        <v>243</v>
      </c>
      <c r="M27" s="90" t="s">
        <v>242</v>
      </c>
    </row>
    <row r="28" spans="1:13" x14ac:dyDescent="0.25">
      <c r="A28" s="90" t="s">
        <v>186</v>
      </c>
      <c r="B28" s="90" t="s">
        <v>185</v>
      </c>
      <c r="E28" s="90">
        <v>120</v>
      </c>
      <c r="F28" s="90" t="s">
        <v>104</v>
      </c>
      <c r="G28" s="90" t="b">
        <v>1</v>
      </c>
      <c r="I28" s="90" t="s">
        <v>112</v>
      </c>
      <c r="K28" s="90" t="s">
        <v>184</v>
      </c>
      <c r="L28" s="90" t="s">
        <v>183</v>
      </c>
      <c r="M28" s="90" t="s">
        <v>182</v>
      </c>
    </row>
    <row r="29" spans="1:13" x14ac:dyDescent="0.25">
      <c r="A29" s="90" t="s">
        <v>151</v>
      </c>
      <c r="B29" s="90" t="s">
        <v>150</v>
      </c>
      <c r="E29" s="90">
        <v>870</v>
      </c>
      <c r="F29" s="90" t="s">
        <v>149</v>
      </c>
      <c r="G29" s="90" t="b">
        <v>1</v>
      </c>
      <c r="I29" s="90" t="s">
        <v>112</v>
      </c>
      <c r="J29" s="90" t="s">
        <v>148</v>
      </c>
      <c r="L29" s="90" t="s">
        <v>147</v>
      </c>
      <c r="M29" s="90" t="s">
        <v>146</v>
      </c>
    </row>
    <row r="30" spans="1:13" x14ac:dyDescent="0.25">
      <c r="A30" s="90" t="s">
        <v>155</v>
      </c>
      <c r="B30" s="90" t="s">
        <v>154</v>
      </c>
      <c r="E30" s="90">
        <v>106</v>
      </c>
      <c r="F30" s="90" t="s">
        <v>149</v>
      </c>
      <c r="G30" s="90" t="b">
        <v>1</v>
      </c>
      <c r="I30" s="90" t="s">
        <v>112</v>
      </c>
      <c r="J30" s="90" t="s">
        <v>153</v>
      </c>
      <c r="L30" s="90" t="s">
        <v>147</v>
      </c>
      <c r="M30" s="90" t="s">
        <v>152</v>
      </c>
    </row>
    <row r="31" spans="1:13" x14ac:dyDescent="0.25">
      <c r="A31" s="90" t="s">
        <v>181</v>
      </c>
      <c r="B31" s="90" t="s">
        <v>173</v>
      </c>
      <c r="E31" s="90">
        <v>39</v>
      </c>
      <c r="F31" s="90" t="s">
        <v>120</v>
      </c>
      <c r="G31" s="90" t="b">
        <v>1</v>
      </c>
      <c r="I31" s="90" t="s">
        <v>112</v>
      </c>
      <c r="J31" s="90" t="s">
        <v>180</v>
      </c>
    </row>
    <row r="32" spans="1:13" x14ac:dyDescent="0.25">
      <c r="A32" s="90" t="s">
        <v>179</v>
      </c>
      <c r="B32" s="90" t="s">
        <v>173</v>
      </c>
      <c r="E32" s="90">
        <v>275</v>
      </c>
      <c r="F32" s="90" t="s">
        <v>120</v>
      </c>
      <c r="G32" s="90" t="b">
        <v>1</v>
      </c>
      <c r="J32" s="90" t="s">
        <v>178</v>
      </c>
    </row>
    <row r="33" spans="1:13" x14ac:dyDescent="0.25">
      <c r="A33" s="90" t="s">
        <v>177</v>
      </c>
      <c r="B33" s="90" t="s">
        <v>173</v>
      </c>
      <c r="E33" s="90">
        <v>148</v>
      </c>
      <c r="F33" s="90" t="s">
        <v>120</v>
      </c>
      <c r="G33" s="90" t="b">
        <v>1</v>
      </c>
      <c r="I33" s="90" t="s">
        <v>112</v>
      </c>
      <c r="J33" s="90" t="s">
        <v>176</v>
      </c>
      <c r="K33" s="90" t="s">
        <v>175</v>
      </c>
    </row>
    <row r="34" spans="1:13" x14ac:dyDescent="0.25">
      <c r="A34" s="90" t="s">
        <v>174</v>
      </c>
      <c r="B34" s="90" t="s">
        <v>173</v>
      </c>
      <c r="E34" s="90">
        <v>53</v>
      </c>
      <c r="F34" s="90" t="s">
        <v>120</v>
      </c>
      <c r="G34" s="90" t="b">
        <v>1</v>
      </c>
      <c r="I34" s="90" t="s">
        <v>112</v>
      </c>
      <c r="J34" s="90">
        <v>852</v>
      </c>
      <c r="K34" s="90" t="s">
        <v>172</v>
      </c>
      <c r="M34" s="90" t="s">
        <v>171</v>
      </c>
    </row>
    <row r="41" spans="1:13" x14ac:dyDescent="0.25">
      <c r="B41" s="90" t="s">
        <v>311</v>
      </c>
      <c r="C41" s="90" t="s">
        <v>312</v>
      </c>
      <c r="D41" s="90" t="s">
        <v>313</v>
      </c>
      <c r="E41" s="90" t="s">
        <v>314</v>
      </c>
    </row>
    <row r="42" spans="1:13" x14ac:dyDescent="0.25">
      <c r="A42" s="90" t="s">
        <v>310</v>
      </c>
      <c r="B42" s="103">
        <f>4975*12</f>
        <v>59700</v>
      </c>
      <c r="C42" s="103">
        <f>1545*12</f>
        <v>18540</v>
      </c>
      <c r="D42" s="103">
        <f>1090*6</f>
        <v>6540</v>
      </c>
      <c r="E42" s="103">
        <v>2340</v>
      </c>
    </row>
  </sheetData>
  <autoFilter ref="A1:M34" xr:uid="{9D7EDFBB-8AE0-1943-97D8-F41A4D7DB16A}">
    <filterColumn colId="8">
      <filters blank="1">
        <filter val="Current"/>
      </filters>
    </filterColumn>
  </autoFilter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Monthly Budget 2026</vt:lpstr>
      <vt:lpstr>Annual Budget Worksheet</vt:lpstr>
      <vt:lpstr>Fuel Worksheet 2026</vt:lpstr>
      <vt:lpstr>PVB T-Hangar Management-10</vt:lpstr>
      <vt:lpstr>'Annual Budget Worksheet'!Print_Area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Airport Manager</dc:creator>
  <cp:lastModifiedBy>Bill Kloster</cp:lastModifiedBy>
  <dcterms:created xsi:type="dcterms:W3CDTF">2025-09-24T18:22:01Z</dcterms:created>
  <dcterms:modified xsi:type="dcterms:W3CDTF">2025-12-11T16:19:11Z</dcterms:modified>
</cp:coreProperties>
</file>